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wnloads\temp\"/>
    </mc:Choice>
  </mc:AlternateContent>
  <xr:revisionPtr revIDLastSave="0" documentId="13_ncr:1_{7362A2EA-D44F-44E8-A9F2-E41D99739905}" xr6:coauthVersionLast="45" xr6:coauthVersionMax="45" xr10:uidLastSave="{00000000-0000-0000-0000-000000000000}"/>
  <bookViews>
    <workbookView xWindow="-120" yWindow="-120" windowWidth="29040" windowHeight="15840" tabRatio="984" xr2:uid="{00000000-000D-0000-FFFF-FFFF00000000}"/>
  </bookViews>
  <sheets>
    <sheet name="INPUT_ContexteBIA" sheetId="1" r:id="rId1"/>
    <sheet name="INPUT_Sources de Risques" sheetId="2" r:id="rId2"/>
    <sheet name="INPUT_Mesures Actuelles" sheetId="3" r:id="rId3"/>
    <sheet name="VUE_SM" sheetId="28" r:id="rId4"/>
    <sheet name="VUE_Mesures" sheetId="30" r:id="rId5"/>
    <sheet name="VUE_Risques" sheetId="31" r:id="rId6"/>
    <sheet name="REF_ER" sheetId="16" state="hidden" r:id="rId7"/>
    <sheet name="REF_Risques" sheetId="17" state="hidden" r:id="rId8"/>
    <sheet name="REF_Mesures" sheetId="6" state="hidden" r:id="rId9"/>
    <sheet name="REF_SMMS" sheetId="29" state="hidden" r:id="rId10"/>
    <sheet name="REF_SMSR" sheetId="27" state="hidden" r:id="rId11"/>
    <sheet name="DATA_Listes" sheetId="11" state="hidden" r:id="rId12"/>
  </sheets>
  <definedNames>
    <definedName name="_xlnm._FilterDatabase" localSheetId="9" hidden="1">REF_SMMS!$A$1:$I$252</definedName>
    <definedName name="_xlcn.WorksheetConnection_PrototypeOutilrationalisationSSI_PivotNew.xlsxTableau_REF_Mesures" hidden="1">Tableau_REF_Mesures[]</definedName>
    <definedName name="_xlcn.WorksheetConnection_PrototypeOutilrationalisationSSI_PivotNew.xlsxTableau_REF_Risques" hidden="1">Tableau_REF_Risques[]</definedName>
    <definedName name="_xlcn.WorksheetConnection_PrototypeOutilrationalisationSSI_PivotNew.xlsxTableau_REF_SMMS" hidden="1">Tableau_REF_SMMS[]</definedName>
    <definedName name="_xlcn.WorksheetConnection_PrototypeOutilrationalisationSSI_PivotNew.xlsxTableau_REF_SMSR" hidden="1">Tableau_REF_SMSR[]</definedName>
    <definedName name="_xlcn.WorksheetConnection_PrototypeOutilrationalisationSSI_PivotNew.xlsxTableau_REF_SR" hidden="1">Tableau_REF_SR[]</definedName>
    <definedName name="Segment__MS1">#N/A</definedName>
    <definedName name="Segment_Applicabilité">#N/A</definedName>
    <definedName name="Segment_Lib_RR">#N/A</definedName>
    <definedName name="Segment_Lib_Tx_Couv">#N/A</definedName>
    <definedName name="Segment_Libellé_scénario">#N/A</definedName>
    <definedName name="Segment_Niveau_Retenu">#N/A</definedName>
  </definedNames>
  <calcPr calcId="191029"/>
  <pivotCaches>
    <pivotCache cacheId="22" r:id="rId13"/>
    <pivotCache cacheId="23" r:id="rId14"/>
    <pivotCache cacheId="24" r:id="rId15"/>
    <pivotCache cacheId="25" r:id="rId16"/>
    <pivotCache cacheId="26" r:id="rId17"/>
    <pivotCache cacheId="43" r:id="rId18"/>
  </pivotCaches>
  <extLst>
    <ext xmlns:x14="http://schemas.microsoft.com/office/spreadsheetml/2009/9/main" uri="{876F7934-8845-4945-9796-88D515C7AA90}">
      <x14:pivotCaches>
        <pivotCache cacheId="28" r:id="rId19"/>
        <pivotCache cacheId="29" r:id="rId20"/>
        <pivotCache cacheId="39" r:id="rId21"/>
      </x14:pivotCaches>
    </ext>
    <ext xmlns:x14="http://schemas.microsoft.com/office/spreadsheetml/2009/9/main" uri="{BBE1A952-AA13-448e-AADC-164F8A28A991}">
      <x14:slicerCaches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31" r:id="rId28"/>
        <pivotCache cacheId="32" r:id="rId29"/>
        <pivotCache cacheId="33" r:id="rId30"/>
        <pivotCache cacheId="34" r:id="rId31"/>
        <pivotCache cacheId="35" r:id="rId32"/>
        <pivotCache cacheId="40" r:id="rId33"/>
      </x15:pivotCaches>
    </ext>
    <ext xmlns:x15="http://schemas.microsoft.com/office/spreadsheetml/2010/11/main" uri="{983426D0-5260-488c-9760-48F4B6AC55F4}">
      <x15:pivotTableReferences>
        <x15:pivotTableReference r:id="rId34"/>
        <x15:pivotTableReference r:id="rId35"/>
        <x15:pivotTableReference r:id="rId36"/>
        <x15:pivotTableReference r:id="rId37"/>
        <x15:pivotTableReference r:id="rId38"/>
        <x15:pivotTableReference r:id="rId39"/>
      </x15:pivotTableReferences>
    </ext>
    <ext xmlns:x15="http://schemas.microsoft.com/office/spreadsheetml/2010/11/main" uri="{FCE2AD5D-F65C-4FA6-A056-5C36A1767C68}">
      <x15:dataModel>
        <x15:modelTables>
          <x15:modelTable id="Tableau_REF_SR" name="Tableau_REF_SR" connection="WorksheetConnection_Prototype Outil rationalisation SSI_Pivot - New.xlsx!Tableau_REF_SR"/>
          <x15:modelTable id="Tableau_REF_SMSR" name="Tableau_REF_SMSR" connection="WorksheetConnection_Prototype Outil rationalisation SSI_Pivot - New.xlsx!Tableau_REF_SMSR"/>
          <x15:modelTable id="Tableau_REF_SMMS" name="Tableau_REF_SMMS" connection="WorksheetConnection_Prototype Outil rationalisation SSI_Pivot - New.xlsx!Tableau_REF_SMMS"/>
          <x15:modelTable id="Tableau_REF_Risques" name="Tableau_REF_Risques" connection="WorksheetConnection_Prototype Outil rationalisation SSI_Pivot - New.xlsx!Tableau_REF_Risques"/>
          <x15:modelTable id="Tableau_REF_Mesures" name="Tableau_REF_Mesures" connection="WorksheetConnection_Prototype Outil rationalisation SSI_Pivot - New.xlsx!Tableau_REF_Mesures"/>
        </x15:modelTables>
        <x15:modelRelationships>
          <x15:modelRelationship fromTable="Tableau_REF_SMMS" fromColumn="#SM" toTable="Tableau_REF_Risques" toColumn="#SM"/>
          <x15:modelRelationship fromTable="Tableau_REF_SMMS" fromColumn="Libellé mesure" toTable="Tableau_REF_Mesures" toColumn="Nom mesur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29" l="1"/>
  <c r="G3" i="29"/>
  <c r="G4" i="29"/>
  <c r="G5" i="29"/>
  <c r="G6" i="29"/>
  <c r="G7" i="29"/>
  <c r="G8" i="29"/>
  <c r="G9" i="29"/>
  <c r="G10" i="29"/>
  <c r="G11" i="29"/>
  <c r="G12" i="29"/>
  <c r="G13" i="29"/>
  <c r="G14" i="29"/>
  <c r="G17" i="29"/>
  <c r="G18" i="29"/>
  <c r="G19" i="29"/>
  <c r="G20" i="29"/>
  <c r="G21" i="29"/>
  <c r="G22" i="29"/>
  <c r="G23" i="29"/>
  <c r="G24" i="29"/>
  <c r="G25" i="29"/>
  <c r="G26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8" i="29"/>
  <c r="G49" i="29"/>
  <c r="G50" i="29"/>
  <c r="G51" i="29"/>
  <c r="G52" i="29"/>
  <c r="G53" i="29"/>
  <c r="G54" i="29"/>
  <c r="G55" i="29"/>
  <c r="G56" i="29"/>
  <c r="G57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82" i="29"/>
  <c r="G83" i="29"/>
  <c r="G84" i="29"/>
  <c r="G85" i="29"/>
  <c r="G86" i="29"/>
  <c r="G87" i="29"/>
  <c r="G88" i="29"/>
  <c r="G89" i="29"/>
  <c r="G90" i="29"/>
  <c r="G91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6" i="29"/>
  <c r="G117" i="29"/>
  <c r="G118" i="29"/>
  <c r="G119" i="29"/>
  <c r="G120" i="29"/>
  <c r="G121" i="29"/>
  <c r="G122" i="29"/>
  <c r="G123" i="29"/>
  <c r="G124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9" i="29"/>
  <c r="G200" i="29"/>
  <c r="G201" i="29"/>
  <c r="G202" i="29"/>
  <c r="G203" i="29"/>
  <c r="G204" i="29"/>
  <c r="G207" i="29"/>
  <c r="G208" i="29"/>
  <c r="G209" i="29"/>
  <c r="G210" i="29"/>
  <c r="G211" i="29"/>
  <c r="G212" i="29"/>
  <c r="G213" i="29"/>
  <c r="G214" i="29"/>
  <c r="G215" i="29"/>
  <c r="G216" i="29"/>
  <c r="G217" i="29"/>
  <c r="G218" i="29"/>
  <c r="G219" i="29"/>
  <c r="G220" i="29"/>
  <c r="G221" i="29"/>
  <c r="G222" i="29"/>
  <c r="G223" i="29"/>
  <c r="G224" i="29"/>
  <c r="G225" i="29"/>
  <c r="G226" i="29"/>
  <c r="G227" i="29"/>
  <c r="G228" i="29"/>
  <c r="G229" i="29"/>
  <c r="G230" i="29"/>
  <c r="G231" i="29"/>
  <c r="G232" i="29"/>
  <c r="G233" i="29"/>
  <c r="G234" i="29"/>
  <c r="G235" i="29"/>
  <c r="G236" i="29"/>
  <c r="G237" i="29"/>
  <c r="G238" i="29"/>
  <c r="G239" i="29"/>
  <c r="G240" i="29"/>
  <c r="G241" i="29"/>
  <c r="G242" i="29"/>
  <c r="G243" i="29"/>
  <c r="G244" i="29"/>
  <c r="G245" i="29"/>
  <c r="G246" i="29"/>
  <c r="G247" i="29"/>
  <c r="G248" i="29"/>
  <c r="G249" i="29"/>
  <c r="G250" i="29"/>
  <c r="G251" i="29"/>
  <c r="G252" i="29"/>
  <c r="B60" i="29"/>
  <c r="E60" i="29"/>
  <c r="B110" i="29"/>
  <c r="E110" i="29"/>
  <c r="B114" i="29"/>
  <c r="E114" i="29"/>
  <c r="B124" i="29"/>
  <c r="E124" i="29"/>
  <c r="E46" i="29"/>
  <c r="B46" i="29"/>
  <c r="B43" i="29"/>
  <c r="E43" i="29"/>
  <c r="C38" i="16" l="1"/>
  <c r="D2" i="16" s="1"/>
  <c r="D38" i="16"/>
  <c r="D7" i="16" s="1"/>
  <c r="F38" i="16"/>
  <c r="D25" i="16" s="1"/>
  <c r="C39" i="16"/>
  <c r="D39" i="16"/>
  <c r="F39" i="16"/>
  <c r="D26" i="16" s="1"/>
  <c r="C40" i="16"/>
  <c r="D4" i="16" s="1"/>
  <c r="D40" i="16"/>
  <c r="F40" i="16"/>
  <c r="D27" i="16" s="1"/>
  <c r="C41" i="16"/>
  <c r="D41" i="16"/>
  <c r="D10" i="16" s="1"/>
  <c r="F41" i="16"/>
  <c r="D43" i="16"/>
  <c r="D11" i="16" s="1"/>
  <c r="E43" i="16"/>
  <c r="D16" i="16" s="1"/>
  <c r="F43" i="16"/>
  <c r="D21" i="16" s="1"/>
  <c r="D44" i="16"/>
  <c r="E44" i="16"/>
  <c r="F44" i="16"/>
  <c r="D22" i="16" s="1"/>
  <c r="D45" i="16"/>
  <c r="D13" i="16" s="1"/>
  <c r="E45" i="16"/>
  <c r="F45" i="16"/>
  <c r="D23" i="16" s="1"/>
  <c r="C46" i="16"/>
  <c r="D14" i="16" s="1"/>
  <c r="D46" i="16"/>
  <c r="D19" i="16" s="1"/>
  <c r="E46" i="16"/>
  <c r="C49" i="16"/>
  <c r="G49" i="16" s="1"/>
  <c r="D10" i="31" s="1"/>
  <c r="D49" i="16"/>
  <c r="E49" i="16"/>
  <c r="F49" i="16"/>
  <c r="C50" i="16"/>
  <c r="D50" i="16"/>
  <c r="E50" i="16"/>
  <c r="F50" i="16"/>
  <c r="A3" i="16"/>
  <c r="A2" i="16"/>
  <c r="B2" i="16"/>
  <c r="A34" i="11"/>
  <c r="A35" i="11"/>
  <c r="A33" i="11"/>
  <c r="D17" i="16"/>
  <c r="D12" i="16"/>
  <c r="D8" i="16"/>
  <c r="D3" i="16"/>
  <c r="D24" i="16"/>
  <c r="D28" i="16"/>
  <c r="D5" i="16"/>
  <c r="G50" i="16" l="1"/>
  <c r="D11" i="31" s="1"/>
  <c r="C48" i="16"/>
  <c r="C51" i="16" s="1"/>
  <c r="D48" i="16"/>
  <c r="D51" i="16" s="1"/>
  <c r="E48" i="16"/>
  <c r="E51" i="16" s="1"/>
  <c r="F48" i="16"/>
  <c r="F51" i="16" s="1"/>
  <c r="D18" i="16"/>
  <c r="D9" i="1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L6" i="31" l="1" a="1"/>
  <c r="L6" i="31" s="1"/>
  <c r="G28" i="17"/>
  <c r="J28" i="17" s="1"/>
  <c r="G27" i="17"/>
  <c r="G9" i="17"/>
  <c r="G6" i="17"/>
  <c r="G3" i="17"/>
  <c r="G4" i="17"/>
  <c r="G12" i="17"/>
  <c r="G25" i="17"/>
  <c r="J25" i="17" s="1"/>
  <c r="G23" i="17"/>
  <c r="G8" i="17"/>
  <c r="G5" i="17"/>
  <c r="G14" i="17"/>
  <c r="G7" i="17"/>
  <c r="G2" i="17"/>
  <c r="O9" i="31"/>
  <c r="F21" i="17"/>
  <c r="F11" i="17"/>
  <c r="J11" i="17" s="1"/>
  <c r="N9" i="31"/>
  <c r="F10" i="17"/>
  <c r="J10" i="17" s="1"/>
  <c r="F19" i="17"/>
  <c r="F27" i="17"/>
  <c r="F9" i="17"/>
  <c r="F6" i="17"/>
  <c r="F3" i="17"/>
  <c r="F18" i="17"/>
  <c r="J18" i="17" s="1"/>
  <c r="F26" i="17"/>
  <c r="F16" i="17"/>
  <c r="F14" i="17"/>
  <c r="F24" i="17"/>
  <c r="J24" i="17" s="1"/>
  <c r="F15" i="17"/>
  <c r="F2" i="17"/>
  <c r="F23" i="17"/>
  <c r="F8" i="17"/>
  <c r="F5" i="17"/>
  <c r="F17" i="17"/>
  <c r="J17" i="17" s="1"/>
  <c r="F13" i="17"/>
  <c r="F12" i="17"/>
  <c r="F7" i="17"/>
  <c r="F4" i="17"/>
  <c r="D7" i="17"/>
  <c r="D4" i="17"/>
  <c r="L9" i="31"/>
  <c r="D26" i="17"/>
  <c r="D22" i="17"/>
  <c r="J22" i="17" s="1"/>
  <c r="D27" i="17"/>
  <c r="D9" i="17"/>
  <c r="D6" i="17"/>
  <c r="D3" i="17"/>
  <c r="D23" i="17"/>
  <c r="D8" i="17"/>
  <c r="D5" i="17"/>
  <c r="D2" i="17"/>
  <c r="J2" i="17" s="1"/>
  <c r="D20" i="17"/>
  <c r="J20" i="17" s="1"/>
  <c r="D12" i="17"/>
  <c r="E12" i="17"/>
  <c r="E7" i="17"/>
  <c r="E4" i="17"/>
  <c r="E21" i="17"/>
  <c r="E19" i="17"/>
  <c r="J19" i="17" s="1"/>
  <c r="E27" i="17"/>
  <c r="E9" i="17"/>
  <c r="E6" i="17"/>
  <c r="E3" i="17"/>
  <c r="E16" i="17"/>
  <c r="J16" i="17" s="1"/>
  <c r="E23" i="17"/>
  <c r="E15" i="17"/>
  <c r="J15" i="17" s="1"/>
  <c r="E2" i="17"/>
  <c r="E5" i="17"/>
  <c r="E8" i="17"/>
  <c r="E14" i="17"/>
  <c r="E13" i="17"/>
  <c r="J13" i="17" s="1"/>
  <c r="M9" i="31"/>
  <c r="E182" i="27"/>
  <c r="K28" i="17" s="1"/>
  <c r="E181" i="27"/>
  <c r="K27" i="17" s="1"/>
  <c r="E180" i="27"/>
  <c r="K26" i="17" s="1"/>
  <c r="B180" i="27"/>
  <c r="B181" i="27"/>
  <c r="B182" i="27"/>
  <c r="E179" i="27"/>
  <c r="K25" i="17" s="1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2" i="27"/>
  <c r="C229" i="29"/>
  <c r="C230" i="29"/>
  <c r="C231" i="29"/>
  <c r="C232" i="29"/>
  <c r="C233" i="29"/>
  <c r="C234" i="29"/>
  <c r="C237" i="29"/>
  <c r="C238" i="29"/>
  <c r="C242" i="29"/>
  <c r="C243" i="29"/>
  <c r="C244" i="29"/>
  <c r="C245" i="29"/>
  <c r="C246" i="29"/>
  <c r="C247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192" i="29"/>
  <c r="B203" i="29"/>
  <c r="B196" i="29"/>
  <c r="B197" i="29"/>
  <c r="B198" i="29"/>
  <c r="B199" i="29"/>
  <c r="B193" i="29"/>
  <c r="B194" i="29"/>
  <c r="B195" i="29"/>
  <c r="B200" i="29"/>
  <c r="B201" i="29"/>
  <c r="B202" i="29"/>
  <c r="B204" i="29"/>
  <c r="B24" i="29"/>
  <c r="B15" i="29"/>
  <c r="B2" i="29"/>
  <c r="B186" i="29"/>
  <c r="B176" i="29"/>
  <c r="B166" i="29"/>
  <c r="B157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55" i="29"/>
  <c r="B56" i="29"/>
  <c r="B57" i="29"/>
  <c r="B58" i="29"/>
  <c r="B59" i="29"/>
  <c r="B61" i="29"/>
  <c r="B62" i="29"/>
  <c r="B63" i="29"/>
  <c r="B64" i="29"/>
  <c r="B65" i="29"/>
  <c r="B66" i="29"/>
  <c r="B67" i="29"/>
  <c r="B68" i="29"/>
  <c r="B41" i="29"/>
  <c r="B42" i="29"/>
  <c r="B44" i="29"/>
  <c r="B45" i="29"/>
  <c r="B47" i="29"/>
  <c r="B48" i="29"/>
  <c r="B49" i="29"/>
  <c r="B50" i="29"/>
  <c r="B51" i="29"/>
  <c r="B52" i="29"/>
  <c r="B53" i="29"/>
  <c r="B54" i="29"/>
  <c r="B32" i="29"/>
  <c r="B33" i="29"/>
  <c r="B34" i="29"/>
  <c r="B35" i="29"/>
  <c r="B36" i="29"/>
  <c r="B37" i="29"/>
  <c r="B38" i="29"/>
  <c r="B39" i="29"/>
  <c r="B40" i="29"/>
  <c r="B25" i="29"/>
  <c r="B26" i="29"/>
  <c r="B27" i="29"/>
  <c r="B28" i="29"/>
  <c r="B29" i="29"/>
  <c r="B30" i="29"/>
  <c r="B31" i="29"/>
  <c r="B16" i="29"/>
  <c r="B17" i="29"/>
  <c r="B18" i="29"/>
  <c r="B19" i="29"/>
  <c r="B20" i="29"/>
  <c r="B21" i="29"/>
  <c r="B22" i="29"/>
  <c r="B23" i="29"/>
  <c r="B8" i="29"/>
  <c r="B9" i="29"/>
  <c r="B10" i="29"/>
  <c r="B11" i="29"/>
  <c r="B12" i="29"/>
  <c r="B13" i="29"/>
  <c r="B14" i="29"/>
  <c r="B3" i="29"/>
  <c r="B4" i="29"/>
  <c r="B5" i="29"/>
  <c r="B6" i="29"/>
  <c r="B7" i="29"/>
  <c r="B187" i="29"/>
  <c r="B188" i="29"/>
  <c r="B189" i="29"/>
  <c r="B190" i="29"/>
  <c r="B191" i="29"/>
  <c r="B177" i="29"/>
  <c r="B178" i="29"/>
  <c r="B179" i="29"/>
  <c r="B180" i="29"/>
  <c r="B181" i="29"/>
  <c r="B182" i="29"/>
  <c r="B183" i="29"/>
  <c r="B184" i="29"/>
  <c r="B185" i="29"/>
  <c r="B167" i="29"/>
  <c r="B168" i="29"/>
  <c r="B169" i="29"/>
  <c r="B170" i="29"/>
  <c r="B171" i="29"/>
  <c r="B172" i="29"/>
  <c r="B173" i="29"/>
  <c r="B174" i="29"/>
  <c r="B175" i="29"/>
  <c r="B158" i="29"/>
  <c r="B159" i="29"/>
  <c r="B160" i="29"/>
  <c r="B161" i="29"/>
  <c r="B162" i="29"/>
  <c r="B163" i="29"/>
  <c r="B164" i="29"/>
  <c r="B165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35" i="29"/>
  <c r="B136" i="29"/>
  <c r="B137" i="29"/>
  <c r="B138" i="29"/>
  <c r="B139" i="29"/>
  <c r="B140" i="29"/>
  <c r="B141" i="29"/>
  <c r="B122" i="29"/>
  <c r="B123" i="29"/>
  <c r="B125" i="29"/>
  <c r="B126" i="29"/>
  <c r="B127" i="29"/>
  <c r="B128" i="29"/>
  <c r="B129" i="29"/>
  <c r="B130" i="29"/>
  <c r="B131" i="29"/>
  <c r="B132" i="29"/>
  <c r="B133" i="29"/>
  <c r="B134" i="29"/>
  <c r="B108" i="29"/>
  <c r="B109" i="29"/>
  <c r="B111" i="29"/>
  <c r="B112" i="29"/>
  <c r="B113" i="29"/>
  <c r="B115" i="29"/>
  <c r="B116" i="29"/>
  <c r="B117" i="29"/>
  <c r="B118" i="29"/>
  <c r="B119" i="29"/>
  <c r="B120" i="29"/>
  <c r="B121" i="29"/>
  <c r="B101" i="29"/>
  <c r="B102" i="29"/>
  <c r="B103" i="29"/>
  <c r="B104" i="29"/>
  <c r="B105" i="29"/>
  <c r="B106" i="29"/>
  <c r="B107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69" i="29"/>
  <c r="B70" i="29"/>
  <c r="B71" i="29"/>
  <c r="B72" i="29"/>
  <c r="B73" i="29"/>
  <c r="B74" i="29"/>
  <c r="B75" i="29"/>
  <c r="B222" i="29"/>
  <c r="B223" i="29"/>
  <c r="B224" i="29"/>
  <c r="B225" i="29"/>
  <c r="B226" i="29"/>
  <c r="B227" i="29"/>
  <c r="B228" i="29"/>
  <c r="B214" i="29"/>
  <c r="B215" i="29"/>
  <c r="B216" i="29"/>
  <c r="B217" i="29"/>
  <c r="B218" i="29"/>
  <c r="B219" i="29"/>
  <c r="B220" i="29"/>
  <c r="B221" i="29"/>
  <c r="B205" i="29"/>
  <c r="B206" i="29"/>
  <c r="B207" i="29"/>
  <c r="B208" i="29"/>
  <c r="B209" i="29"/>
  <c r="B210" i="29"/>
  <c r="B211" i="29"/>
  <c r="B212" i="29"/>
  <c r="B213" i="29"/>
  <c r="B248" i="29"/>
  <c r="B249" i="29"/>
  <c r="B250" i="29"/>
  <c r="B251" i="29"/>
  <c r="B252" i="29"/>
  <c r="B242" i="29"/>
  <c r="B243" i="29"/>
  <c r="B244" i="29"/>
  <c r="B245" i="29"/>
  <c r="B246" i="29"/>
  <c r="B247" i="29"/>
  <c r="B234" i="29"/>
  <c r="B235" i="29"/>
  <c r="B236" i="29"/>
  <c r="B237" i="29"/>
  <c r="B238" i="29"/>
  <c r="B239" i="29"/>
  <c r="B240" i="29"/>
  <c r="B241" i="29"/>
  <c r="B229" i="29"/>
  <c r="B230" i="29"/>
  <c r="B231" i="29"/>
  <c r="B232" i="29"/>
  <c r="B233" i="29"/>
  <c r="B192" i="29"/>
  <c r="E24" i="29"/>
  <c r="E15" i="29"/>
  <c r="E2" i="29"/>
  <c r="E186" i="29"/>
  <c r="E176" i="29"/>
  <c r="E166" i="29"/>
  <c r="E157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55" i="29"/>
  <c r="E56" i="29"/>
  <c r="E57" i="29"/>
  <c r="E58" i="29"/>
  <c r="E59" i="29"/>
  <c r="E61" i="29"/>
  <c r="E62" i="29"/>
  <c r="E63" i="29"/>
  <c r="E64" i="29"/>
  <c r="E65" i="29"/>
  <c r="E66" i="29"/>
  <c r="E67" i="29"/>
  <c r="E68" i="29"/>
  <c r="E41" i="29"/>
  <c r="E42" i="29"/>
  <c r="E44" i="29"/>
  <c r="E45" i="29"/>
  <c r="E47" i="29"/>
  <c r="E48" i="29"/>
  <c r="E49" i="29"/>
  <c r="E50" i="29"/>
  <c r="E51" i="29"/>
  <c r="E52" i="29"/>
  <c r="E53" i="29"/>
  <c r="E54" i="29"/>
  <c r="E32" i="29"/>
  <c r="E33" i="29"/>
  <c r="E34" i="29"/>
  <c r="E35" i="29"/>
  <c r="E36" i="29"/>
  <c r="E37" i="29"/>
  <c r="E38" i="29"/>
  <c r="E39" i="29"/>
  <c r="E40" i="29"/>
  <c r="E25" i="29"/>
  <c r="E26" i="29"/>
  <c r="E27" i="29"/>
  <c r="E28" i="29"/>
  <c r="E29" i="29"/>
  <c r="E30" i="29"/>
  <c r="E31" i="29"/>
  <c r="E16" i="29"/>
  <c r="E17" i="29"/>
  <c r="E18" i="29"/>
  <c r="E19" i="29"/>
  <c r="E20" i="29"/>
  <c r="E21" i="29"/>
  <c r="E22" i="29"/>
  <c r="E23" i="29"/>
  <c r="E8" i="29"/>
  <c r="E9" i="29"/>
  <c r="E10" i="29"/>
  <c r="E11" i="29"/>
  <c r="E12" i="29"/>
  <c r="E13" i="29"/>
  <c r="E14" i="29"/>
  <c r="E3" i="29"/>
  <c r="E4" i="29"/>
  <c r="E5" i="29"/>
  <c r="E6" i="29"/>
  <c r="E7" i="29"/>
  <c r="E187" i="29"/>
  <c r="E188" i="29"/>
  <c r="E189" i="29"/>
  <c r="E190" i="29"/>
  <c r="E191" i="29"/>
  <c r="E177" i="29"/>
  <c r="E178" i="29"/>
  <c r="E179" i="29"/>
  <c r="E180" i="29"/>
  <c r="E181" i="29"/>
  <c r="E182" i="29"/>
  <c r="E183" i="29"/>
  <c r="E184" i="29"/>
  <c r="E185" i="29"/>
  <c r="E167" i="29"/>
  <c r="E168" i="29"/>
  <c r="E169" i="29"/>
  <c r="E170" i="29"/>
  <c r="E171" i="29"/>
  <c r="E172" i="29"/>
  <c r="E173" i="29"/>
  <c r="E174" i="29"/>
  <c r="E175" i="29"/>
  <c r="E158" i="29"/>
  <c r="E159" i="29"/>
  <c r="E160" i="29"/>
  <c r="E161" i="29"/>
  <c r="E162" i="29"/>
  <c r="E163" i="29"/>
  <c r="E164" i="29"/>
  <c r="E165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35" i="29"/>
  <c r="E136" i="29"/>
  <c r="E137" i="29"/>
  <c r="E138" i="29"/>
  <c r="E139" i="29"/>
  <c r="E140" i="29"/>
  <c r="E141" i="29"/>
  <c r="E122" i="29"/>
  <c r="E123" i="29"/>
  <c r="E125" i="29"/>
  <c r="E126" i="29"/>
  <c r="E127" i="29"/>
  <c r="E128" i="29"/>
  <c r="E129" i="29"/>
  <c r="E130" i="29"/>
  <c r="E131" i="29"/>
  <c r="E132" i="29"/>
  <c r="E133" i="29"/>
  <c r="E134" i="29"/>
  <c r="E108" i="29"/>
  <c r="E109" i="29"/>
  <c r="E111" i="29"/>
  <c r="E112" i="29"/>
  <c r="E113" i="29"/>
  <c r="E115" i="29"/>
  <c r="E116" i="29"/>
  <c r="E117" i="29"/>
  <c r="E118" i="29"/>
  <c r="E119" i="29"/>
  <c r="E120" i="29"/>
  <c r="E121" i="29"/>
  <c r="E101" i="29"/>
  <c r="E102" i="29"/>
  <c r="E103" i="29"/>
  <c r="E104" i="29"/>
  <c r="E105" i="29"/>
  <c r="E106" i="29"/>
  <c r="E107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69" i="29"/>
  <c r="E70" i="29"/>
  <c r="E71" i="29"/>
  <c r="E72" i="29"/>
  <c r="E73" i="29"/>
  <c r="E74" i="29"/>
  <c r="E75" i="29"/>
  <c r="E222" i="29"/>
  <c r="E223" i="29"/>
  <c r="E224" i="29"/>
  <c r="E225" i="29"/>
  <c r="E226" i="29"/>
  <c r="E227" i="29"/>
  <c r="E228" i="29"/>
  <c r="E214" i="29"/>
  <c r="E215" i="29"/>
  <c r="E216" i="29"/>
  <c r="E217" i="29"/>
  <c r="E218" i="29"/>
  <c r="E219" i="29"/>
  <c r="E220" i="29"/>
  <c r="E221" i="29"/>
  <c r="E205" i="29"/>
  <c r="E206" i="29"/>
  <c r="E207" i="29"/>
  <c r="E208" i="29"/>
  <c r="E209" i="29"/>
  <c r="E210" i="29"/>
  <c r="E211" i="29"/>
  <c r="E212" i="29"/>
  <c r="E213" i="29"/>
  <c r="E248" i="29"/>
  <c r="E249" i="29"/>
  <c r="E250" i="29"/>
  <c r="E251" i="29"/>
  <c r="E252" i="29"/>
  <c r="E242" i="29"/>
  <c r="E243" i="29"/>
  <c r="E244" i="29"/>
  <c r="E245" i="29"/>
  <c r="E246" i="29"/>
  <c r="E247" i="29"/>
  <c r="E234" i="29"/>
  <c r="E235" i="29"/>
  <c r="E236" i="29"/>
  <c r="E237" i="29"/>
  <c r="E238" i="29"/>
  <c r="E239" i="29"/>
  <c r="E240" i="29"/>
  <c r="E241" i="29"/>
  <c r="E229" i="29"/>
  <c r="E230" i="29"/>
  <c r="E231" i="29"/>
  <c r="E232" i="29"/>
  <c r="E233" i="29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H80" i="29" s="1"/>
  <c r="C18" i="6"/>
  <c r="C17" i="6"/>
  <c r="C16" i="6"/>
  <c r="C15" i="6"/>
  <c r="H17" i="29" s="1"/>
  <c r="C14" i="6"/>
  <c r="C13" i="6"/>
  <c r="C12" i="6"/>
  <c r="C11" i="6"/>
  <c r="H44" i="29" s="1"/>
  <c r="C10" i="6"/>
  <c r="C9" i="6"/>
  <c r="C8" i="6"/>
  <c r="C7" i="6"/>
  <c r="C6" i="6"/>
  <c r="C5" i="6"/>
  <c r="H242" i="29" s="1"/>
  <c r="C4" i="6"/>
  <c r="C3" i="6"/>
  <c r="C2" i="6"/>
  <c r="I11" i="27"/>
  <c r="E174" i="27" s="1"/>
  <c r="I12" i="27"/>
  <c r="I13" i="27"/>
  <c r="E171" i="27" s="1"/>
  <c r="I5" i="27"/>
  <c r="I6" i="27"/>
  <c r="E163" i="27" s="1"/>
  <c r="I10" i="27"/>
  <c r="E127" i="27" s="1"/>
  <c r="I2" i="27"/>
  <c r="E30" i="27" s="1"/>
  <c r="I3" i="27"/>
  <c r="E42" i="27" s="1"/>
  <c r="I8" i="27"/>
  <c r="E66" i="27" s="1"/>
  <c r="I4" i="27"/>
  <c r="E78" i="27" s="1"/>
  <c r="I9" i="27"/>
  <c r="E103" i="27" s="1"/>
  <c r="I7" i="27"/>
  <c r="E6" i="27" s="1"/>
  <c r="F11" i="6" l="1"/>
  <c r="I44" i="29" s="1"/>
  <c r="F19" i="6"/>
  <c r="I80" i="29" s="1"/>
  <c r="F15" i="6"/>
  <c r="I17" i="29" s="1"/>
  <c r="F5" i="6"/>
  <c r="I242" i="29" s="1"/>
  <c r="H144" i="29"/>
  <c r="H112" i="29"/>
  <c r="H76" i="29"/>
  <c r="H195" i="29"/>
  <c r="H204" i="29"/>
  <c r="H120" i="29"/>
  <c r="H245" i="29"/>
  <c r="H154" i="29"/>
  <c r="H140" i="29"/>
  <c r="H251" i="29"/>
  <c r="H183" i="29"/>
  <c r="H104" i="29"/>
  <c r="H30" i="29"/>
  <c r="H52" i="29"/>
  <c r="H87" i="29"/>
  <c r="H6" i="29"/>
  <c r="H14" i="29"/>
  <c r="H220" i="29"/>
  <c r="H74" i="29"/>
  <c r="H133" i="29"/>
  <c r="H238" i="29"/>
  <c r="H190" i="29"/>
  <c r="H39" i="29"/>
  <c r="H22" i="29"/>
  <c r="H212" i="29"/>
  <c r="H67" i="29"/>
  <c r="H173" i="29"/>
  <c r="H97" i="29"/>
  <c r="H162" i="29"/>
  <c r="H227" i="29"/>
  <c r="H231" i="29"/>
  <c r="H157" i="29"/>
  <c r="H96" i="29"/>
  <c r="H132" i="29"/>
  <c r="H13" i="29"/>
  <c r="H203" i="29"/>
  <c r="H21" i="29"/>
  <c r="H5" i="29"/>
  <c r="H244" i="29"/>
  <c r="H219" i="29"/>
  <c r="H139" i="29"/>
  <c r="H73" i="29"/>
  <c r="H182" i="29"/>
  <c r="H230" i="29"/>
  <c r="H189" i="29"/>
  <c r="H237" i="29"/>
  <c r="H86" i="29"/>
  <c r="H250" i="29"/>
  <c r="H103" i="29"/>
  <c r="H51" i="29"/>
  <c r="H153" i="29"/>
  <c r="H211" i="29"/>
  <c r="H166" i="29"/>
  <c r="H66" i="29"/>
  <c r="H29" i="29"/>
  <c r="H119" i="29"/>
  <c r="H226" i="29"/>
  <c r="H161" i="29"/>
  <c r="H172" i="29"/>
  <c r="H38" i="29"/>
  <c r="H197" i="29"/>
  <c r="H146" i="29"/>
  <c r="H114" i="29"/>
  <c r="H78" i="29"/>
  <c r="H156" i="29"/>
  <c r="H240" i="29"/>
  <c r="H54" i="29"/>
  <c r="H99" i="29"/>
  <c r="H134" i="29"/>
  <c r="H213" i="29"/>
  <c r="H221" i="29"/>
  <c r="H246" i="29"/>
  <c r="H68" i="29"/>
  <c r="H75" i="29"/>
  <c r="H106" i="29"/>
  <c r="H121" i="29"/>
  <c r="H141" i="29"/>
  <c r="H175" i="29"/>
  <c r="H164" i="29"/>
  <c r="H185" i="29"/>
  <c r="H168" i="29"/>
  <c r="H135" i="29"/>
  <c r="H178" i="29"/>
  <c r="H149" i="29"/>
  <c r="H34" i="29"/>
  <c r="H2" i="29"/>
  <c r="H10" i="29"/>
  <c r="H129" i="29"/>
  <c r="H200" i="29"/>
  <c r="H117" i="29"/>
  <c r="H83" i="29"/>
  <c r="H252" i="29"/>
  <c r="H233" i="29"/>
  <c r="H191" i="29"/>
  <c r="H165" i="29"/>
  <c r="H241" i="29"/>
  <c r="H7" i="29"/>
  <c r="H247" i="29"/>
  <c r="H9" i="29"/>
  <c r="H199" i="29"/>
  <c r="H148" i="29"/>
  <c r="H167" i="29"/>
  <c r="H33" i="29"/>
  <c r="H116" i="29"/>
  <c r="H177" i="29"/>
  <c r="H82" i="29"/>
  <c r="H128" i="29"/>
  <c r="H60" i="29"/>
  <c r="H93" i="29"/>
  <c r="H46" i="29"/>
  <c r="H88" i="29"/>
  <c r="H23" i="29"/>
  <c r="H163" i="29"/>
  <c r="H232" i="29"/>
  <c r="H40" i="29"/>
  <c r="H98" i="29"/>
  <c r="H155" i="29"/>
  <c r="H239" i="29"/>
  <c r="H184" i="29"/>
  <c r="H174" i="29"/>
  <c r="H53" i="29"/>
  <c r="H31" i="29"/>
  <c r="H105" i="29"/>
  <c r="H208" i="29"/>
  <c r="H71" i="29"/>
  <c r="H222" i="29"/>
  <c r="H70" i="29"/>
  <c r="H214" i="29"/>
  <c r="H207" i="29"/>
  <c r="H55" i="29"/>
  <c r="H108" i="29"/>
  <c r="H24" i="29"/>
  <c r="H41" i="29"/>
  <c r="H122" i="29"/>
  <c r="H89" i="29"/>
  <c r="H192" i="29"/>
  <c r="H56" i="29"/>
  <c r="H142" i="29"/>
  <c r="H109" i="29"/>
  <c r="H25" i="29"/>
  <c r="H42" i="29"/>
  <c r="H123" i="29"/>
  <c r="H90" i="29"/>
  <c r="H193" i="29"/>
  <c r="H179" i="29"/>
  <c r="H19" i="29"/>
  <c r="H169" i="29"/>
  <c r="H159" i="29"/>
  <c r="H150" i="29"/>
  <c r="H136" i="29"/>
  <c r="H72" i="29"/>
  <c r="H180" i="29"/>
  <c r="H84" i="29"/>
  <c r="H101" i="29"/>
  <c r="H64" i="29"/>
  <c r="H11" i="29"/>
  <c r="H130" i="29"/>
  <c r="H151" i="29"/>
  <c r="H209" i="29"/>
  <c r="H118" i="29"/>
  <c r="H201" i="29"/>
  <c r="H223" i="29"/>
  <c r="H229" i="29"/>
  <c r="H249" i="29"/>
  <c r="H170" i="29"/>
  <c r="H28" i="29"/>
  <c r="H236" i="29"/>
  <c r="H20" i="29"/>
  <c r="H4" i="29"/>
  <c r="H186" i="29"/>
  <c r="H215" i="29"/>
  <c r="H243" i="29"/>
  <c r="H50" i="29"/>
  <c r="H160" i="29"/>
  <c r="H95" i="29"/>
  <c r="H137" i="29"/>
  <c r="H188" i="29"/>
  <c r="H35" i="29"/>
  <c r="H110" i="29"/>
  <c r="H124" i="29"/>
  <c r="H194" i="29"/>
  <c r="H143" i="29"/>
  <c r="H26" i="29"/>
  <c r="H91" i="29"/>
  <c r="H43" i="29"/>
  <c r="H57" i="29"/>
  <c r="H158" i="29"/>
  <c r="H18" i="29"/>
  <c r="H69" i="29"/>
  <c r="H62" i="29"/>
  <c r="H12" i="29"/>
  <c r="H216" i="29"/>
  <c r="H36" i="29"/>
  <c r="H65" i="29"/>
  <c r="H152" i="29"/>
  <c r="H224" i="29"/>
  <c r="H171" i="29"/>
  <c r="H138" i="29"/>
  <c r="H181" i="29"/>
  <c r="H225" i="29"/>
  <c r="H37" i="29"/>
  <c r="H210" i="29"/>
  <c r="H217" i="29"/>
  <c r="H176" i="29"/>
  <c r="H85" i="29"/>
  <c r="H202" i="29"/>
  <c r="H248" i="29"/>
  <c r="H32" i="29"/>
  <c r="H147" i="29"/>
  <c r="H8" i="29"/>
  <c r="H228" i="29"/>
  <c r="H100" i="29"/>
  <c r="H107" i="29"/>
  <c r="H48" i="29"/>
  <c r="H234" i="29"/>
  <c r="H127" i="29"/>
  <c r="H63" i="29"/>
  <c r="H3" i="29"/>
  <c r="H187" i="29"/>
  <c r="H49" i="29"/>
  <c r="H235" i="29"/>
  <c r="H218" i="29"/>
  <c r="H102" i="29"/>
  <c r="H131" i="29"/>
  <c r="O4" i="6"/>
  <c r="O5" i="6"/>
  <c r="O6" i="6"/>
  <c r="O7" i="6"/>
  <c r="O8" i="6"/>
  <c r="O9" i="6"/>
  <c r="O10" i="6"/>
  <c r="O11" i="6"/>
  <c r="O2" i="6"/>
  <c r="O3" i="6"/>
  <c r="P3" i="6"/>
  <c r="P4" i="6"/>
  <c r="P5" i="6"/>
  <c r="P6" i="6"/>
  <c r="P11" i="6"/>
  <c r="P7" i="6"/>
  <c r="P8" i="6"/>
  <c r="P9" i="6"/>
  <c r="P10" i="6"/>
  <c r="P2" i="6"/>
  <c r="E8" i="6"/>
  <c r="E20" i="6"/>
  <c r="E9" i="6"/>
  <c r="E21" i="6"/>
  <c r="E22" i="6"/>
  <c r="E19" i="6"/>
  <c r="E23" i="6"/>
  <c r="E24" i="6"/>
  <c r="E36" i="6"/>
  <c r="E25" i="6"/>
  <c r="E26" i="6"/>
  <c r="E35" i="6"/>
  <c r="E15" i="6"/>
  <c r="G27" i="6"/>
  <c r="H27" i="6" s="1"/>
  <c r="E16" i="6"/>
  <c r="E28" i="6"/>
  <c r="E7" i="6"/>
  <c r="E5" i="6"/>
  <c r="E29" i="6"/>
  <c r="E6" i="6"/>
  <c r="E30" i="6"/>
  <c r="G2" i="6"/>
  <c r="G3" i="6"/>
  <c r="H3" i="6" s="1"/>
  <c r="E32" i="6"/>
  <c r="E33" i="6"/>
  <c r="E10" i="6"/>
  <c r="E34" i="6"/>
  <c r="E13" i="6"/>
  <c r="E12" i="6"/>
  <c r="E2" i="6"/>
  <c r="E14" i="6"/>
  <c r="E3" i="6"/>
  <c r="E27" i="6"/>
  <c r="E11" i="6"/>
  <c r="E4" i="6"/>
  <c r="E17" i="6"/>
  <c r="E18" i="6"/>
  <c r="E31" i="6"/>
  <c r="E93" i="27"/>
  <c r="J7" i="17"/>
  <c r="G28" i="6"/>
  <c r="H28" i="6" s="1"/>
  <c r="G29" i="6"/>
  <c r="H29" i="6" s="1"/>
  <c r="G30" i="6"/>
  <c r="H30" i="6" s="1"/>
  <c r="G5" i="6"/>
  <c r="H5" i="6" s="1"/>
  <c r="G31" i="6"/>
  <c r="H31" i="6" s="1"/>
  <c r="G15" i="6"/>
  <c r="H15" i="6" s="1"/>
  <c r="G32" i="6"/>
  <c r="H32" i="6" s="1"/>
  <c r="G16" i="6"/>
  <c r="H16" i="6" s="1"/>
  <c r="G33" i="6"/>
  <c r="H33" i="6" s="1"/>
  <c r="G17" i="6"/>
  <c r="H17" i="6" s="1"/>
  <c r="G34" i="6"/>
  <c r="H34" i="6" s="1"/>
  <c r="G18" i="6"/>
  <c r="H18" i="6" s="1"/>
  <c r="G35" i="6"/>
  <c r="H35" i="6" s="1"/>
  <c r="G24" i="6"/>
  <c r="H24" i="6" s="1"/>
  <c r="G36" i="6"/>
  <c r="H36" i="6" s="1"/>
  <c r="G25" i="6"/>
  <c r="H25" i="6" s="1"/>
  <c r="G26" i="6"/>
  <c r="H26" i="6" s="1"/>
  <c r="E123" i="27"/>
  <c r="J14" i="17"/>
  <c r="J21" i="17"/>
  <c r="J9" i="17"/>
  <c r="G7" i="6"/>
  <c r="H7" i="6" s="1"/>
  <c r="J4" i="17"/>
  <c r="J3" i="17"/>
  <c r="J6" i="17"/>
  <c r="J27" i="17"/>
  <c r="J26" i="17"/>
  <c r="J12" i="17"/>
  <c r="J5" i="17"/>
  <c r="J8" i="17"/>
  <c r="J23" i="17"/>
  <c r="C235" i="29"/>
  <c r="C241" i="29"/>
  <c r="C240" i="29"/>
  <c r="C239" i="29"/>
  <c r="C236" i="29"/>
  <c r="C252" i="29"/>
  <c r="C251" i="29"/>
  <c r="C250" i="29"/>
  <c r="C249" i="29"/>
  <c r="C248" i="29"/>
  <c r="G8" i="6"/>
  <c r="H8" i="6" s="1"/>
  <c r="G20" i="6"/>
  <c r="H20" i="6" s="1"/>
  <c r="H2" i="6"/>
  <c r="G9" i="6"/>
  <c r="H9" i="6" s="1"/>
  <c r="G21" i="6"/>
  <c r="H21" i="6" s="1"/>
  <c r="G10" i="6"/>
  <c r="H10" i="6" s="1"/>
  <c r="G11" i="6"/>
  <c r="H11" i="6" s="1"/>
  <c r="G12" i="6"/>
  <c r="H12" i="6" s="1"/>
  <c r="G13" i="6"/>
  <c r="H13" i="6" s="1"/>
  <c r="G4" i="6"/>
  <c r="H4" i="6" s="1"/>
  <c r="G19" i="6"/>
  <c r="H19" i="6" s="1"/>
  <c r="G6" i="6"/>
  <c r="H6" i="6" s="1"/>
  <c r="G22" i="6"/>
  <c r="H22" i="6" s="1"/>
  <c r="G23" i="6"/>
  <c r="L25" i="17"/>
  <c r="M25" i="17" s="1"/>
  <c r="L28" i="17"/>
  <c r="M28" i="17" s="1"/>
  <c r="E158" i="27"/>
  <c r="E83" i="27"/>
  <c r="E81" i="27"/>
  <c r="E164" i="27"/>
  <c r="E162" i="27"/>
  <c r="E161" i="27"/>
  <c r="E153" i="27"/>
  <c r="E169" i="27"/>
  <c r="E152" i="27"/>
  <c r="G14" i="6"/>
  <c r="H14" i="6" s="1"/>
  <c r="E159" i="27"/>
  <c r="E155" i="27"/>
  <c r="E154" i="27"/>
  <c r="E168" i="27"/>
  <c r="E119" i="27"/>
  <c r="E167" i="27"/>
  <c r="E117" i="27"/>
  <c r="E165" i="27"/>
  <c r="E95" i="27"/>
  <c r="E114" i="27"/>
  <c r="E89" i="27"/>
  <c r="E176" i="27"/>
  <c r="E166" i="27"/>
  <c r="E150" i="27"/>
  <c r="E113" i="27"/>
  <c r="E87" i="27"/>
  <c r="E143" i="27"/>
  <c r="E106" i="27"/>
  <c r="E47" i="27"/>
  <c r="E111" i="27"/>
  <c r="E131" i="27"/>
  <c r="E105" i="27"/>
  <c r="E138" i="27"/>
  <c r="E129" i="27"/>
  <c r="E126" i="27"/>
  <c r="E102" i="27"/>
  <c r="E23" i="27"/>
  <c r="E141" i="27"/>
  <c r="E107" i="27"/>
  <c r="E130" i="27"/>
  <c r="E45" i="27"/>
  <c r="E104" i="27"/>
  <c r="E35" i="27"/>
  <c r="E177" i="27"/>
  <c r="K23" i="17" s="1"/>
  <c r="E156" i="27"/>
  <c r="E125" i="27"/>
  <c r="E101" i="27"/>
  <c r="E15" i="27"/>
  <c r="E99" i="27"/>
  <c r="E11" i="27"/>
  <c r="E9" i="27"/>
  <c r="E3" i="27"/>
  <c r="E77" i="27"/>
  <c r="E65" i="27"/>
  <c r="E53" i="27"/>
  <c r="E41" i="27"/>
  <c r="E29" i="27"/>
  <c r="E17" i="27"/>
  <c r="E5" i="27"/>
  <c r="E160" i="27"/>
  <c r="E148" i="27"/>
  <c r="E136" i="27"/>
  <c r="E124" i="27"/>
  <c r="E112" i="27"/>
  <c r="E100" i="27"/>
  <c r="E88" i="27"/>
  <c r="E76" i="27"/>
  <c r="E64" i="27"/>
  <c r="E52" i="27"/>
  <c r="E40" i="27"/>
  <c r="E28" i="27"/>
  <c r="E16" i="27"/>
  <c r="E4" i="27"/>
  <c r="C60" i="29" s="1"/>
  <c r="E149" i="27"/>
  <c r="E51" i="27"/>
  <c r="E2" i="27"/>
  <c r="E146" i="27"/>
  <c r="E134" i="27"/>
  <c r="E122" i="27"/>
  <c r="E110" i="27"/>
  <c r="E98" i="27"/>
  <c r="E86" i="27"/>
  <c r="E74" i="27"/>
  <c r="E62" i="27"/>
  <c r="E50" i="27"/>
  <c r="E38" i="27"/>
  <c r="E26" i="27"/>
  <c r="E14" i="27"/>
  <c r="E170" i="27"/>
  <c r="E135" i="27"/>
  <c r="E63" i="27"/>
  <c r="E27" i="27"/>
  <c r="E157" i="27"/>
  <c r="E145" i="27"/>
  <c r="E133" i="27"/>
  <c r="E121" i="27"/>
  <c r="E109" i="27"/>
  <c r="E97" i="27"/>
  <c r="E85" i="27"/>
  <c r="E73" i="27"/>
  <c r="E61" i="27"/>
  <c r="E49" i="27"/>
  <c r="E37" i="27"/>
  <c r="E25" i="27"/>
  <c r="E13" i="27"/>
  <c r="E178" i="27"/>
  <c r="E137" i="27"/>
  <c r="E147" i="27"/>
  <c r="E75" i="27"/>
  <c r="E39" i="27"/>
  <c r="E144" i="27"/>
  <c r="E132" i="27"/>
  <c r="E120" i="27"/>
  <c r="E108" i="27"/>
  <c r="E96" i="27"/>
  <c r="E84" i="27"/>
  <c r="E72" i="27"/>
  <c r="E60" i="27"/>
  <c r="E48" i="27"/>
  <c r="E36" i="27"/>
  <c r="E24" i="27"/>
  <c r="E12" i="27"/>
  <c r="E59" i="27"/>
  <c r="E142" i="27"/>
  <c r="E118" i="27"/>
  <c r="E94" i="27"/>
  <c r="E82" i="27"/>
  <c r="E70" i="27"/>
  <c r="E58" i="27"/>
  <c r="E46" i="27"/>
  <c r="E34" i="27"/>
  <c r="E22" i="27"/>
  <c r="E10" i="27"/>
  <c r="E175" i="27"/>
  <c r="E57" i="27"/>
  <c r="E128" i="27"/>
  <c r="E116" i="27"/>
  <c r="E92" i="27"/>
  <c r="E68" i="27"/>
  <c r="E44" i="27"/>
  <c r="E20" i="27"/>
  <c r="E173" i="27"/>
  <c r="E71" i="27"/>
  <c r="E69" i="27"/>
  <c r="E33" i="27"/>
  <c r="E21" i="27"/>
  <c r="E140" i="27"/>
  <c r="E80" i="27"/>
  <c r="E56" i="27"/>
  <c r="E32" i="27"/>
  <c r="E8" i="27"/>
  <c r="E151" i="27"/>
  <c r="E139" i="27"/>
  <c r="E115" i="27"/>
  <c r="E91" i="27"/>
  <c r="E79" i="27"/>
  <c r="E67" i="27"/>
  <c r="E55" i="27"/>
  <c r="E43" i="27"/>
  <c r="E31" i="27"/>
  <c r="E19" i="27"/>
  <c r="E7" i="27"/>
  <c r="E172" i="27"/>
  <c r="E90" i="27"/>
  <c r="E54" i="27"/>
  <c r="E18" i="27"/>
  <c r="B5" i="16"/>
  <c r="B4" i="16"/>
  <c r="C124" i="29" l="1"/>
  <c r="K21" i="17"/>
  <c r="C43" i="29"/>
  <c r="C46" i="29"/>
  <c r="C110" i="29"/>
  <c r="C114" i="29"/>
  <c r="F18" i="6"/>
  <c r="I235" i="29" s="1"/>
  <c r="F33" i="6"/>
  <c r="I174" i="29" s="1"/>
  <c r="F10" i="6"/>
  <c r="I78" i="29" s="1"/>
  <c r="F22" i="6"/>
  <c r="I199" i="29" s="1"/>
  <c r="F8" i="6"/>
  <c r="I195" i="29" s="1"/>
  <c r="F26" i="6"/>
  <c r="I208" i="29" s="1"/>
  <c r="F32" i="6"/>
  <c r="F4" i="6"/>
  <c r="I43" i="29" s="1"/>
  <c r="F6" i="6"/>
  <c r="I3" i="29" s="1"/>
  <c r="F24" i="6"/>
  <c r="I169" i="29" s="1"/>
  <c r="F13" i="6"/>
  <c r="I60" i="29" s="1"/>
  <c r="F23" i="6"/>
  <c r="I168" i="29" s="1"/>
  <c r="F31" i="6"/>
  <c r="I38" i="29" s="1"/>
  <c r="F27" i="6"/>
  <c r="I209" i="29" s="1"/>
  <c r="F35" i="6"/>
  <c r="I247" i="29" s="1"/>
  <c r="F2" i="6"/>
  <c r="I89" i="29" s="1"/>
  <c r="F28" i="6"/>
  <c r="I216" i="29" s="1"/>
  <c r="F17" i="6"/>
  <c r="I127" i="29" s="1"/>
  <c r="F29" i="6"/>
  <c r="I37" i="29" s="1"/>
  <c r="F36" i="6"/>
  <c r="I107" i="29" s="1"/>
  <c r="F16" i="6"/>
  <c r="I69" i="29" s="1"/>
  <c r="F3" i="6"/>
  <c r="I142" i="29" s="1"/>
  <c r="F25" i="6"/>
  <c r="I222" i="29" s="1"/>
  <c r="F34" i="6"/>
  <c r="I164" i="29" s="1"/>
  <c r="F30" i="6"/>
  <c r="I102" i="29" s="1"/>
  <c r="F21" i="6"/>
  <c r="I147" i="29" s="1"/>
  <c r="O26" i="17"/>
  <c r="P26" i="17" s="1"/>
  <c r="Q6" i="6"/>
  <c r="G44" i="29" s="1"/>
  <c r="Q5" i="6"/>
  <c r="Q2" i="6"/>
  <c r="G125" i="29" s="1"/>
  <c r="H125" i="29" s="1"/>
  <c r="O21" i="17"/>
  <c r="P21" i="17" s="1"/>
  <c r="O27" i="17"/>
  <c r="P27" i="17" s="1"/>
  <c r="Q4" i="6"/>
  <c r="O19" i="17"/>
  <c r="P19" i="17" s="1"/>
  <c r="O16" i="17"/>
  <c r="P16" i="17" s="1"/>
  <c r="O23" i="17"/>
  <c r="P23" i="17" s="1"/>
  <c r="O14" i="17"/>
  <c r="P14" i="17" s="1"/>
  <c r="Q3" i="6"/>
  <c r="O9" i="17"/>
  <c r="P9" i="17" s="1"/>
  <c r="O28" i="17"/>
  <c r="P28" i="17" s="1"/>
  <c r="G78" i="29"/>
  <c r="G114" i="29"/>
  <c r="G197" i="29"/>
  <c r="G146" i="29"/>
  <c r="G58" i="29"/>
  <c r="H58" i="29" s="1"/>
  <c r="G111" i="29"/>
  <c r="H111" i="29" s="1"/>
  <c r="G16" i="29"/>
  <c r="H16" i="29" s="1"/>
  <c r="O22" i="17"/>
  <c r="P22" i="17" s="1"/>
  <c r="Q11" i="6"/>
  <c r="O6" i="17"/>
  <c r="P6" i="17" s="1"/>
  <c r="O13" i="17"/>
  <c r="P13" i="17" s="1"/>
  <c r="Q10" i="6"/>
  <c r="G80" i="29" s="1"/>
  <c r="O25" i="17"/>
  <c r="P25" i="17" s="1"/>
  <c r="Q9" i="6"/>
  <c r="H23" i="6"/>
  <c r="Q8" i="6"/>
  <c r="O11" i="17"/>
  <c r="P11" i="17" s="1"/>
  <c r="O10" i="17"/>
  <c r="P10" i="17" s="1"/>
  <c r="Q7" i="6"/>
  <c r="O12" i="17"/>
  <c r="P12" i="17" s="1"/>
  <c r="L26" i="17"/>
  <c r="M26" i="17" s="1"/>
  <c r="L27" i="17"/>
  <c r="M27" i="17" s="1"/>
  <c r="K24" i="17"/>
  <c r="L24" i="17" s="1"/>
  <c r="M24" i="17" s="1"/>
  <c r="K8" i="17"/>
  <c r="L8" i="17" s="1"/>
  <c r="M8" i="17" s="1"/>
  <c r="K14" i="17"/>
  <c r="L14" i="17" s="1"/>
  <c r="M14" i="17" s="1"/>
  <c r="K6" i="17"/>
  <c r="K2" i="17"/>
  <c r="K10" i="17"/>
  <c r="L23" i="17"/>
  <c r="M23" i="17" s="1"/>
  <c r="K18" i="17"/>
  <c r="K17" i="17"/>
  <c r="K20" i="17"/>
  <c r="K13" i="17"/>
  <c r="C214" i="29"/>
  <c r="K7" i="17"/>
  <c r="K19" i="17"/>
  <c r="K22" i="17"/>
  <c r="C215" i="29"/>
  <c r="K3" i="17"/>
  <c r="C216" i="29"/>
  <c r="K9" i="17"/>
  <c r="C217" i="29"/>
  <c r="K12" i="17"/>
  <c r="K11" i="17"/>
  <c r="C218" i="29"/>
  <c r="K4" i="17"/>
  <c r="C221" i="29"/>
  <c r="C219" i="29"/>
  <c r="K16" i="17"/>
  <c r="K15" i="17"/>
  <c r="C220" i="29"/>
  <c r="L21" i="17"/>
  <c r="M21" i="17" s="1"/>
  <c r="K5" i="17"/>
  <c r="C37" i="29"/>
  <c r="C136" i="29"/>
  <c r="C137" i="29"/>
  <c r="C138" i="29"/>
  <c r="C139" i="29"/>
  <c r="C140" i="29"/>
  <c r="C141" i="29"/>
  <c r="C135" i="29"/>
  <c r="C148" i="29"/>
  <c r="C149" i="29"/>
  <c r="C150" i="29"/>
  <c r="C151" i="29"/>
  <c r="C152" i="29"/>
  <c r="C153" i="29"/>
  <c r="C142" i="29"/>
  <c r="C154" i="29"/>
  <c r="C143" i="29"/>
  <c r="C155" i="29"/>
  <c r="C144" i="29"/>
  <c r="C156" i="29"/>
  <c r="C145" i="29"/>
  <c r="C146" i="29"/>
  <c r="C147" i="29"/>
  <c r="C38" i="29"/>
  <c r="C32" i="29"/>
  <c r="C109" i="29"/>
  <c r="C111" i="29"/>
  <c r="C112" i="29"/>
  <c r="C113" i="29"/>
  <c r="C115" i="29"/>
  <c r="C116" i="29"/>
  <c r="C117" i="29"/>
  <c r="C118" i="29"/>
  <c r="C119" i="29"/>
  <c r="C120" i="29"/>
  <c r="C121" i="29"/>
  <c r="C108" i="29"/>
  <c r="C123" i="29"/>
  <c r="C125" i="29"/>
  <c r="C126" i="29"/>
  <c r="C127" i="29"/>
  <c r="C128" i="29"/>
  <c r="C129" i="29"/>
  <c r="C130" i="29"/>
  <c r="C131" i="29"/>
  <c r="C132" i="29"/>
  <c r="C133" i="29"/>
  <c r="C134" i="29"/>
  <c r="C122" i="29"/>
  <c r="C39" i="29"/>
  <c r="C33" i="29"/>
  <c r="C97" i="29"/>
  <c r="C98" i="29"/>
  <c r="C99" i="29"/>
  <c r="C100" i="29"/>
  <c r="C89" i="29"/>
  <c r="C90" i="29"/>
  <c r="C91" i="29"/>
  <c r="C92" i="29"/>
  <c r="C93" i="29"/>
  <c r="C94" i="29"/>
  <c r="C95" i="29"/>
  <c r="C96" i="29"/>
  <c r="C172" i="29"/>
  <c r="C173" i="29"/>
  <c r="C174" i="29"/>
  <c r="C175" i="29"/>
  <c r="C166" i="29"/>
  <c r="C167" i="29"/>
  <c r="C168" i="29"/>
  <c r="C169" i="29"/>
  <c r="C170" i="29"/>
  <c r="C171" i="29"/>
  <c r="C50" i="29"/>
  <c r="C51" i="29"/>
  <c r="C52" i="29"/>
  <c r="C53" i="29"/>
  <c r="C54" i="29"/>
  <c r="C41" i="29"/>
  <c r="C42" i="29"/>
  <c r="C44" i="29"/>
  <c r="C45" i="29"/>
  <c r="C47" i="29"/>
  <c r="C48" i="29"/>
  <c r="C49" i="29"/>
  <c r="C34" i="29"/>
  <c r="C15" i="29"/>
  <c r="C16" i="29"/>
  <c r="C17" i="29"/>
  <c r="C18" i="29"/>
  <c r="C19" i="29"/>
  <c r="C20" i="29"/>
  <c r="C21" i="29"/>
  <c r="C22" i="29"/>
  <c r="C23" i="29"/>
  <c r="C40" i="29"/>
  <c r="C26" i="29"/>
  <c r="C27" i="29"/>
  <c r="C28" i="29"/>
  <c r="C29" i="29"/>
  <c r="C30" i="29"/>
  <c r="C31" i="29"/>
  <c r="C24" i="29"/>
  <c r="C25" i="29"/>
  <c r="C35" i="29"/>
  <c r="C208" i="29"/>
  <c r="C209" i="29"/>
  <c r="C210" i="29"/>
  <c r="C211" i="29"/>
  <c r="C212" i="29"/>
  <c r="C213" i="29"/>
  <c r="C205" i="29"/>
  <c r="C206" i="29"/>
  <c r="C207" i="29"/>
  <c r="C101" i="29"/>
  <c r="C102" i="29"/>
  <c r="C103" i="29"/>
  <c r="C104" i="29"/>
  <c r="C105" i="29"/>
  <c r="C106" i="29"/>
  <c r="C107" i="29"/>
  <c r="C222" i="29"/>
  <c r="C223" i="29"/>
  <c r="C224" i="29"/>
  <c r="C225" i="29"/>
  <c r="C226" i="29"/>
  <c r="C227" i="29"/>
  <c r="C228" i="29"/>
  <c r="C74" i="29"/>
  <c r="C75" i="29"/>
  <c r="C69" i="29"/>
  <c r="C70" i="29"/>
  <c r="C71" i="29"/>
  <c r="C72" i="29"/>
  <c r="C73" i="29"/>
  <c r="C160" i="29"/>
  <c r="C161" i="29"/>
  <c r="C162" i="29"/>
  <c r="C163" i="29"/>
  <c r="C164" i="29"/>
  <c r="C165" i="29"/>
  <c r="C157" i="29"/>
  <c r="C158" i="29"/>
  <c r="C159" i="29"/>
  <c r="C196" i="29"/>
  <c r="C197" i="29"/>
  <c r="C198" i="29"/>
  <c r="C199" i="29"/>
  <c r="C200" i="29"/>
  <c r="C201" i="29"/>
  <c r="C202" i="29"/>
  <c r="C203" i="29"/>
  <c r="C192" i="29"/>
  <c r="C204" i="29"/>
  <c r="C193" i="29"/>
  <c r="C194" i="29"/>
  <c r="C195" i="29"/>
  <c r="C85" i="29"/>
  <c r="C86" i="29"/>
  <c r="C87" i="29"/>
  <c r="C76" i="29"/>
  <c r="C88" i="29"/>
  <c r="C77" i="29"/>
  <c r="C78" i="29"/>
  <c r="C79" i="29"/>
  <c r="C80" i="29"/>
  <c r="C81" i="29"/>
  <c r="C82" i="29"/>
  <c r="C83" i="29"/>
  <c r="C84" i="29"/>
  <c r="C36" i="29"/>
  <c r="C14" i="29"/>
  <c r="C8" i="29"/>
  <c r="C9" i="29"/>
  <c r="C10" i="29"/>
  <c r="C11" i="29"/>
  <c r="C12" i="29"/>
  <c r="C13" i="29"/>
  <c r="C186" i="29"/>
  <c r="C187" i="29"/>
  <c r="C188" i="29"/>
  <c r="C189" i="29"/>
  <c r="C190" i="29"/>
  <c r="C191" i="29"/>
  <c r="C184" i="29"/>
  <c r="C185" i="29"/>
  <c r="C176" i="29"/>
  <c r="C177" i="29"/>
  <c r="C178" i="29"/>
  <c r="C179" i="29"/>
  <c r="C180" i="29"/>
  <c r="C181" i="29"/>
  <c r="C182" i="29"/>
  <c r="C183" i="29"/>
  <c r="C3" i="29"/>
  <c r="C4" i="29"/>
  <c r="C5" i="29"/>
  <c r="C6" i="29"/>
  <c r="C7" i="29"/>
  <c r="C2" i="29"/>
  <c r="C62" i="29"/>
  <c r="C63" i="29"/>
  <c r="C64" i="29"/>
  <c r="C65" i="29"/>
  <c r="C66" i="29"/>
  <c r="C67" i="29"/>
  <c r="C55" i="29"/>
  <c r="C68" i="29"/>
  <c r="C56" i="29"/>
  <c r="C57" i="29"/>
  <c r="C58" i="29"/>
  <c r="C59" i="29"/>
  <c r="C61" i="29"/>
  <c r="H2" i="17"/>
  <c r="V2" i="17"/>
  <c r="V3" i="17"/>
  <c r="H3" i="17"/>
  <c r="V4" i="17"/>
  <c r="H4" i="17"/>
  <c r="V5" i="17"/>
  <c r="H5" i="17"/>
  <c r="V6" i="17"/>
  <c r="H6" i="17"/>
  <c r="V7" i="17"/>
  <c r="H7" i="17"/>
  <c r="V8" i="17"/>
  <c r="H8" i="17"/>
  <c r="V9" i="17"/>
  <c r="H9" i="17"/>
  <c r="H10" i="17"/>
  <c r="H11" i="17"/>
  <c r="V12" i="17"/>
  <c r="H12" i="17"/>
  <c r="V13" i="17"/>
  <c r="H13" i="17"/>
  <c r="V14" i="17"/>
  <c r="H14" i="17"/>
  <c r="V15" i="17"/>
  <c r="H15" i="17"/>
  <c r="V16" i="17"/>
  <c r="H16" i="17"/>
  <c r="V17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A24" i="16"/>
  <c r="B24" i="16"/>
  <c r="A23" i="16"/>
  <c r="B23" i="16"/>
  <c r="A22" i="16"/>
  <c r="B22" i="16"/>
  <c r="A21" i="16"/>
  <c r="B21" i="16"/>
  <c r="A19" i="16"/>
  <c r="B19" i="16"/>
  <c r="A18" i="16"/>
  <c r="B18" i="16"/>
  <c r="A17" i="16"/>
  <c r="B17" i="16"/>
  <c r="A16" i="16"/>
  <c r="B33" i="16" s="1"/>
  <c r="C7" i="31" s="1"/>
  <c r="B16" i="16"/>
  <c r="A14" i="16"/>
  <c r="B14" i="16"/>
  <c r="A13" i="16"/>
  <c r="B13" i="16"/>
  <c r="A12" i="16"/>
  <c r="B12" i="16"/>
  <c r="A11" i="16"/>
  <c r="B11" i="16"/>
  <c r="A28" i="16"/>
  <c r="B28" i="16"/>
  <c r="A27" i="16"/>
  <c r="B27" i="16"/>
  <c r="A26" i="16"/>
  <c r="B26" i="16"/>
  <c r="A25" i="16"/>
  <c r="B25" i="16"/>
  <c r="A10" i="16"/>
  <c r="B10" i="16"/>
  <c r="A9" i="16"/>
  <c r="B9" i="16"/>
  <c r="A8" i="16"/>
  <c r="B8" i="16"/>
  <c r="A7" i="16"/>
  <c r="B7" i="16"/>
  <c r="A5" i="16"/>
  <c r="A4" i="16"/>
  <c r="B31" i="16" s="1"/>
  <c r="B3" i="16"/>
  <c r="C90" i="11"/>
  <c r="C89" i="11"/>
  <c r="C88" i="11"/>
  <c r="C87" i="11"/>
  <c r="A33" i="1"/>
  <c r="A32" i="1"/>
  <c r="A31" i="1"/>
  <c r="A30" i="1"/>
  <c r="A28" i="1"/>
  <c r="A27" i="1"/>
  <c r="A26" i="1"/>
  <c r="A25" i="1"/>
  <c r="I138" i="29" l="1"/>
  <c r="I83" i="29"/>
  <c r="I109" i="29"/>
  <c r="I144" i="29"/>
  <c r="I68" i="29"/>
  <c r="I4" i="29"/>
  <c r="I99" i="29"/>
  <c r="I63" i="29"/>
  <c r="I249" i="29"/>
  <c r="I46" i="29"/>
  <c r="I233" i="29"/>
  <c r="I151" i="29"/>
  <c r="I200" i="29"/>
  <c r="I42" i="29"/>
  <c r="I76" i="29"/>
  <c r="I71" i="29"/>
  <c r="I132" i="29"/>
  <c r="I106" i="29"/>
  <c r="I56" i="29"/>
  <c r="I135" i="29"/>
  <c r="I215" i="29"/>
  <c r="I203" i="29"/>
  <c r="I35" i="29"/>
  <c r="I187" i="29"/>
  <c r="I66" i="29"/>
  <c r="I184" i="29"/>
  <c r="I23" i="29"/>
  <c r="I136" i="29"/>
  <c r="I236" i="29"/>
  <c r="I118" i="29"/>
  <c r="I24" i="29"/>
  <c r="I148" i="29"/>
  <c r="I193" i="29"/>
  <c r="I223" i="29"/>
  <c r="I33" i="29"/>
  <c r="I20" i="29"/>
  <c r="I137" i="29"/>
  <c r="I177" i="29"/>
  <c r="I237" i="29"/>
  <c r="I62" i="29"/>
  <c r="I108" i="29"/>
  <c r="I21" i="29"/>
  <c r="I194" i="29"/>
  <c r="I31" i="29"/>
  <c r="I244" i="29"/>
  <c r="I26" i="29"/>
  <c r="I163" i="29"/>
  <c r="I176" i="29"/>
  <c r="I160" i="29"/>
  <c r="I40" i="29"/>
  <c r="I230" i="29"/>
  <c r="I18" i="29"/>
  <c r="I155" i="29"/>
  <c r="I161" i="29"/>
  <c r="I210" i="29"/>
  <c r="I90" i="29"/>
  <c r="I103" i="29"/>
  <c r="I36" i="29"/>
  <c r="I122" i="29"/>
  <c r="I153" i="29"/>
  <c r="I152" i="29"/>
  <c r="I192" i="29"/>
  <c r="I73" i="29"/>
  <c r="I57" i="29"/>
  <c r="I70" i="29"/>
  <c r="I119" i="29"/>
  <c r="I225" i="29"/>
  <c r="I207" i="29"/>
  <c r="I213" i="29"/>
  <c r="I48" i="29"/>
  <c r="I64" i="29"/>
  <c r="I197" i="29"/>
  <c r="I85" i="29"/>
  <c r="I19" i="29"/>
  <c r="I114" i="29"/>
  <c r="I248" i="29"/>
  <c r="I159" i="29"/>
  <c r="I150" i="29"/>
  <c r="I240" i="29"/>
  <c r="I8" i="29"/>
  <c r="I72" i="29"/>
  <c r="I185" i="29"/>
  <c r="I131" i="29"/>
  <c r="I84" i="29"/>
  <c r="I191" i="29"/>
  <c r="I13" i="29"/>
  <c r="I110" i="29"/>
  <c r="I34" i="29"/>
  <c r="I112" i="29"/>
  <c r="I186" i="29"/>
  <c r="I10" i="29"/>
  <c r="I243" i="29"/>
  <c r="I201" i="29"/>
  <c r="I175" i="29"/>
  <c r="I218" i="29"/>
  <c r="I229" i="29"/>
  <c r="I252" i="29"/>
  <c r="I246" i="29"/>
  <c r="I170" i="29"/>
  <c r="I82" i="29"/>
  <c r="I86" i="29"/>
  <c r="I12" i="29"/>
  <c r="I7" i="29"/>
  <c r="I5" i="29"/>
  <c r="I143" i="29"/>
  <c r="I9" i="29"/>
  <c r="I219" i="29"/>
  <c r="I91" i="29"/>
  <c r="I100" i="29"/>
  <c r="I124" i="29"/>
  <c r="I50" i="29"/>
  <c r="I117" i="29"/>
  <c r="I11" i="29"/>
  <c r="I95" i="29"/>
  <c r="I116" i="29"/>
  <c r="I96" i="29"/>
  <c r="I188" i="29"/>
  <c r="I239" i="29"/>
  <c r="I172" i="29"/>
  <c r="I217" i="29"/>
  <c r="I93" i="29"/>
  <c r="I51" i="29"/>
  <c r="I65" i="29"/>
  <c r="I88" i="29"/>
  <c r="I211" i="29"/>
  <c r="I224" i="29"/>
  <c r="I139" i="29"/>
  <c r="I167" i="29"/>
  <c r="I182" i="29"/>
  <c r="I158" i="29"/>
  <c r="I98" i="29"/>
  <c r="I189" i="29"/>
  <c r="I55" i="29"/>
  <c r="I221" i="29"/>
  <c r="I234" i="29"/>
  <c r="I53" i="29"/>
  <c r="I146" i="29"/>
  <c r="I202" i="29"/>
  <c r="I105" i="29"/>
  <c r="I32" i="29"/>
  <c r="I166" i="29"/>
  <c r="I171" i="29"/>
  <c r="I232" i="29"/>
  <c r="I29" i="29"/>
  <c r="I181" i="29"/>
  <c r="I214" i="29"/>
  <c r="I226" i="29"/>
  <c r="I123" i="29"/>
  <c r="I178" i="29"/>
  <c r="I250" i="29"/>
  <c r="I41" i="29"/>
  <c r="I75" i="29"/>
  <c r="I121" i="29"/>
  <c r="I49" i="29"/>
  <c r="I156" i="29"/>
  <c r="I54" i="29"/>
  <c r="I228" i="29"/>
  <c r="I25" i="29"/>
  <c r="I134" i="29"/>
  <c r="I101" i="29"/>
  <c r="I165" i="29"/>
  <c r="I179" i="29"/>
  <c r="I2" i="29"/>
  <c r="I129" i="29"/>
  <c r="I149" i="29"/>
  <c r="I141" i="29"/>
  <c r="I180" i="29"/>
  <c r="I241" i="29"/>
  <c r="I28" i="29"/>
  <c r="I128" i="29"/>
  <c r="I130" i="29"/>
  <c r="F7" i="6"/>
  <c r="I16" i="29" s="1"/>
  <c r="G93" i="29"/>
  <c r="G46" i="29"/>
  <c r="G60" i="29"/>
  <c r="G81" i="29"/>
  <c r="H81" i="29" s="1"/>
  <c r="G206" i="29"/>
  <c r="H206" i="29" s="1"/>
  <c r="G144" i="29"/>
  <c r="G195" i="29"/>
  <c r="G76" i="29"/>
  <c r="G112" i="29"/>
  <c r="G126" i="29"/>
  <c r="H126" i="29" s="1"/>
  <c r="G198" i="29"/>
  <c r="H198" i="29" s="1"/>
  <c r="G79" i="29"/>
  <c r="H79" i="29" s="1"/>
  <c r="G115" i="29"/>
  <c r="H115" i="29" s="1"/>
  <c r="G94" i="29"/>
  <c r="H94" i="29" s="1"/>
  <c r="G47" i="29"/>
  <c r="H47" i="29" s="1"/>
  <c r="G61" i="29"/>
  <c r="H61" i="29" s="1"/>
  <c r="G205" i="29"/>
  <c r="H205" i="29" s="1"/>
  <c r="G15" i="29"/>
  <c r="H15" i="29" s="1"/>
  <c r="G27" i="29"/>
  <c r="H27" i="29" s="1"/>
  <c r="G113" i="29"/>
  <c r="H113" i="29" s="1"/>
  <c r="G77" i="29"/>
  <c r="H77" i="29" s="1"/>
  <c r="G145" i="29"/>
  <c r="H145" i="29" s="1"/>
  <c r="G196" i="29"/>
  <c r="H196" i="29" s="1"/>
  <c r="G92" i="29"/>
  <c r="H92" i="29" s="1"/>
  <c r="G45" i="29"/>
  <c r="H45" i="29" s="1"/>
  <c r="G59" i="29"/>
  <c r="H59" i="29" s="1"/>
  <c r="C31" i="16"/>
  <c r="D5" i="31" s="1"/>
  <c r="C5" i="31"/>
  <c r="B32" i="16"/>
  <c r="C6" i="31" s="1"/>
  <c r="B34" i="16"/>
  <c r="C33" i="16"/>
  <c r="D7" i="31" s="1"/>
  <c r="L10" i="17"/>
  <c r="M10" i="17" s="1"/>
  <c r="L6" i="17"/>
  <c r="M6" i="17" s="1"/>
  <c r="L2" i="17"/>
  <c r="M2" i="17" s="1"/>
  <c r="L15" i="17"/>
  <c r="M15" i="17" s="1"/>
  <c r="L16" i="17"/>
  <c r="M16" i="17" s="1"/>
  <c r="L13" i="17"/>
  <c r="M13" i="17" s="1"/>
  <c r="L22" i="17"/>
  <c r="M22" i="17" s="1"/>
  <c r="L20" i="17"/>
  <c r="M20" i="17" s="1"/>
  <c r="L4" i="17"/>
  <c r="M4" i="17" s="1"/>
  <c r="L19" i="17"/>
  <c r="M19" i="17" s="1"/>
  <c r="L17" i="17"/>
  <c r="M17" i="17" s="1"/>
  <c r="L18" i="17"/>
  <c r="M18" i="17" s="1"/>
  <c r="L11" i="17"/>
  <c r="M11" i="17" s="1"/>
  <c r="L12" i="17"/>
  <c r="M12" i="17" s="1"/>
  <c r="L7" i="17"/>
  <c r="M7" i="17" s="1"/>
  <c r="L5" i="17"/>
  <c r="M5" i="17" s="1"/>
  <c r="L9" i="17"/>
  <c r="M9" i="17" s="1"/>
  <c r="L3" i="17"/>
  <c r="M3" i="17" s="1"/>
  <c r="I58" i="29" l="1"/>
  <c r="I111" i="29"/>
  <c r="I125" i="29"/>
  <c r="O15" i="17"/>
  <c r="P15" i="17" s="1"/>
  <c r="O2" i="17"/>
  <c r="P2" i="17" s="1"/>
  <c r="F9" i="6"/>
  <c r="I145" i="29" s="1"/>
  <c r="F14" i="6"/>
  <c r="I79" i="29" s="1"/>
  <c r="F20" i="6"/>
  <c r="I81" i="29" s="1"/>
  <c r="F12" i="6"/>
  <c r="I59" i="29" s="1"/>
  <c r="O5" i="17"/>
  <c r="P5" i="17" s="1"/>
  <c r="O20" i="17"/>
  <c r="P20" i="17" s="1"/>
  <c r="O18" i="17"/>
  <c r="P18" i="17" s="1"/>
  <c r="O4" i="17"/>
  <c r="P4" i="17" s="1"/>
  <c r="O3" i="17"/>
  <c r="P3" i="17" s="1"/>
  <c r="O17" i="17"/>
  <c r="P17" i="17" s="1"/>
  <c r="O8" i="17"/>
  <c r="P8" i="17" s="1"/>
  <c r="O24" i="17"/>
  <c r="P24" i="17" s="1"/>
  <c r="O7" i="17"/>
  <c r="P7" i="17" s="1"/>
  <c r="C34" i="16"/>
  <c r="D8" i="31" s="1"/>
  <c r="C8" i="31"/>
  <c r="C32" i="16"/>
  <c r="D6" i="31" s="1"/>
  <c r="I47" i="29" l="1"/>
  <c r="I198" i="29"/>
  <c r="I61" i="29"/>
  <c r="I92" i="29"/>
  <c r="I115" i="29"/>
  <c r="I45" i="29"/>
  <c r="I27" i="29"/>
  <c r="I206" i="29"/>
  <c r="I113" i="29"/>
  <c r="I94" i="29"/>
  <c r="I77" i="29"/>
  <c r="I126" i="29"/>
  <c r="I196" i="29"/>
  <c r="I205" i="29"/>
  <c r="I15" i="29"/>
  <c r="Q10" i="17"/>
  <c r="R10" i="17" s="1"/>
  <c r="N10" i="17"/>
  <c r="S10" i="17" l="1"/>
  <c r="N9" i="17"/>
  <c r="Q9" i="17"/>
  <c r="R9" i="17" s="1"/>
  <c r="N8" i="17" l="1"/>
  <c r="Q8" i="17"/>
  <c r="R8" i="17" s="1"/>
  <c r="S8" i="17" l="1"/>
  <c r="Q7" i="17"/>
  <c r="R7" i="17" s="1"/>
  <c r="N7" i="17"/>
  <c r="Q6" i="17" l="1"/>
  <c r="R6" i="17" s="1"/>
  <c r="N6" i="17"/>
  <c r="Q21" i="17" l="1"/>
  <c r="R21" i="17" s="1"/>
  <c r="N21" i="17"/>
  <c r="S21" i="17" l="1"/>
  <c r="Q19" i="17" l="1"/>
  <c r="R19" i="17" s="1"/>
  <c r="N19" i="17"/>
  <c r="S19" i="17" l="1"/>
  <c r="Q17" i="17" l="1"/>
  <c r="R17" i="17" s="1"/>
  <c r="N17" i="17"/>
  <c r="Q16" i="17" l="1"/>
  <c r="N16" i="17"/>
  <c r="R16" i="17" l="1"/>
  <c r="S16" i="17" s="1"/>
  <c r="Q14" i="17"/>
  <c r="R14" i="17" s="1"/>
  <c r="S14" i="17" l="1"/>
  <c r="N14" i="17"/>
  <c r="Q13" i="17" l="1"/>
  <c r="R13" i="17" s="1"/>
  <c r="N13" i="17"/>
  <c r="Q12" i="17"/>
  <c r="R12" i="17" s="1"/>
  <c r="N12" i="17" l="1"/>
  <c r="Q11" i="17" l="1"/>
  <c r="N11" i="17"/>
  <c r="R11" i="17" l="1"/>
  <c r="S11" i="17" s="1"/>
  <c r="Q23" i="17" l="1"/>
  <c r="R23" i="17" s="1"/>
  <c r="N23" i="17"/>
  <c r="Q22" i="17"/>
  <c r="R22" i="17" s="1"/>
  <c r="S23" i="17" l="1"/>
  <c r="S22" i="17"/>
  <c r="N22" i="17"/>
  <c r="Q28" i="17" l="1"/>
  <c r="N28" i="17"/>
  <c r="Q27" i="17"/>
  <c r="R27" i="17" s="1"/>
  <c r="R28" i="17" l="1"/>
  <c r="S28" i="17" s="1"/>
  <c r="S27" i="17"/>
  <c r="N27" i="17"/>
  <c r="Q26" i="17"/>
  <c r="R26" i="17" s="1"/>
  <c r="N26" i="17" l="1"/>
  <c r="S26" i="17"/>
  <c r="Q25" i="17" l="1"/>
  <c r="N25" i="17"/>
  <c r="R25" i="17" l="1"/>
  <c r="S25" i="17" s="1"/>
  <c r="S9" i="17"/>
  <c r="S6" i="17"/>
  <c r="S13" i="17"/>
  <c r="S12" i="17"/>
  <c r="S7" i="17"/>
  <c r="N4" i="17"/>
  <c r="Q4" i="17" l="1"/>
  <c r="R4" i="17" s="1"/>
  <c r="N20" i="17"/>
  <c r="Q20" i="17"/>
  <c r="R20" i="17" s="1"/>
  <c r="S17" i="17"/>
  <c r="S4" i="17" l="1"/>
  <c r="N3" i="17"/>
  <c r="Q3" i="17"/>
  <c r="R3" i="17" s="1"/>
  <c r="S3" i="17" l="1"/>
  <c r="N18" i="17"/>
  <c r="Q18" i="17"/>
  <c r="R18" i="17" s="1"/>
  <c r="S18" i="17" l="1"/>
  <c r="N15" i="17"/>
  <c r="Q15" i="17"/>
  <c r="R15" i="17" s="1"/>
  <c r="S15" i="17" l="1"/>
  <c r="N2" i="17"/>
  <c r="Q2" i="17"/>
  <c r="R2" i="17" s="1"/>
  <c r="S2" i="17" l="1"/>
  <c r="N5" i="17"/>
  <c r="S20" i="17"/>
  <c r="Q5" i="17" l="1"/>
  <c r="R5" i="17" l="1"/>
  <c r="S5" i="17" s="1"/>
  <c r="Q24" i="17"/>
  <c r="N24" i="17"/>
  <c r="R24" i="17" l="1"/>
  <c r="S24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pauld</author>
  </authors>
  <commentList>
    <comment ref="I1" authorId="0" shapeId="0" xr:uid="{70D200A7-7D8D-4D87-9A81-FF9C88545C20}">
      <text>
        <r>
          <rPr>
            <b/>
            <sz val="9"/>
            <color indexed="81"/>
            <rFont val="Tahoma"/>
            <family val="2"/>
          </rPr>
          <t>Exclusion des couts SERV2 qui sont déjà inclus dans le questionnaire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705F82-F4CF-49E0-A251-55245CF9C57C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1AFC575-FC64-48BA-BDEA-C4880FB5EEA7}" name="WorksheetConnection_Prototype Outil rationalisation SSI_Pivot - New.xlsx!Tableau_REF_Mesures" type="102" refreshedVersion="6" minRefreshableVersion="5">
    <extLst>
      <ext xmlns:x15="http://schemas.microsoft.com/office/spreadsheetml/2010/11/main" uri="{DE250136-89BD-433C-8126-D09CA5730AF9}">
        <x15:connection id="Tableau_REF_Mesures" autoDelete="1">
          <x15:rangePr sourceName="_xlcn.WorksheetConnection_PrototypeOutilrationalisationSSI_PivotNew.xlsxTableau_REF_Mesures"/>
        </x15:connection>
      </ext>
    </extLst>
  </connection>
  <connection id="3" xr16:uid="{1F00F16E-00A1-463E-9FA5-BE5781AD299D}" name="WorksheetConnection_Prototype Outil rationalisation SSI_Pivot - New.xlsx!Tableau_REF_Risques" type="102" refreshedVersion="6" minRefreshableVersion="5">
    <extLst>
      <ext xmlns:x15="http://schemas.microsoft.com/office/spreadsheetml/2010/11/main" uri="{DE250136-89BD-433C-8126-D09CA5730AF9}">
        <x15:connection id="Tableau_REF_Risques">
          <x15:rangePr sourceName="_xlcn.WorksheetConnection_PrototypeOutilrationalisationSSI_PivotNew.xlsxTableau_REF_Risques"/>
        </x15:connection>
      </ext>
    </extLst>
  </connection>
  <connection id="4" xr16:uid="{91BDA70A-4A81-46CF-9031-2699160DEC0D}" name="WorksheetConnection_Prototype Outil rationalisation SSI_Pivot - New.xlsx!Tableau_REF_SMMS" type="102" refreshedVersion="6" minRefreshableVersion="5">
    <extLst>
      <ext xmlns:x15="http://schemas.microsoft.com/office/spreadsheetml/2010/11/main" uri="{DE250136-89BD-433C-8126-D09CA5730AF9}">
        <x15:connection id="Tableau_REF_SMMS" autoDelete="1">
          <x15:rangePr sourceName="_xlcn.WorksheetConnection_PrototypeOutilrationalisationSSI_PivotNew.xlsxTableau_REF_SMMS"/>
        </x15:connection>
      </ext>
    </extLst>
  </connection>
  <connection id="5" xr16:uid="{2C935A38-A293-4BE1-B25F-1C67E44D8C21}" name="WorksheetConnection_Prototype Outil rationalisation SSI_Pivot - New.xlsx!Tableau_REF_SMSR" type="102" refreshedVersion="6" minRefreshableVersion="5">
    <extLst>
      <ext xmlns:x15="http://schemas.microsoft.com/office/spreadsheetml/2010/11/main" uri="{DE250136-89BD-433C-8126-D09CA5730AF9}">
        <x15:connection id="Tableau_REF_SMSR" autoDelete="1">
          <x15:rangePr sourceName="_xlcn.WorksheetConnection_PrototypeOutilrationalisationSSI_PivotNew.xlsxTableau_REF_SMSR"/>
        </x15:connection>
      </ext>
    </extLst>
  </connection>
  <connection id="6" xr16:uid="{3C9A5773-A741-4E73-96BC-17FDB9E41068}" name="WorksheetConnection_Prototype Outil rationalisation SSI_Pivot - New.xlsx!Tableau_REF_SR" type="102" refreshedVersion="6" minRefreshableVersion="5">
    <extLst>
      <ext xmlns:x15="http://schemas.microsoft.com/office/spreadsheetml/2010/11/main" uri="{DE250136-89BD-433C-8126-D09CA5730AF9}">
        <x15:connection id="Tableau_REF_SR" autoDelete="1">
          <x15:rangePr sourceName="_xlcn.WorksheetConnection_PrototypeOutilrationalisationSSI_PivotNew.xlsxTableau_REF_SR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<sst xmlns="http://schemas.openxmlformats.org/spreadsheetml/2006/main" count="2337" uniqueCount="472">
  <si>
    <t>Délimitation du périmètre de l'étude</t>
  </si>
  <si>
    <t>Questions</t>
  </si>
  <si>
    <t>Réponses</t>
  </si>
  <si>
    <t>Commentaires</t>
  </si>
  <si>
    <t>Quels sont les principaux processus métiers entrant dans le périmètre de l'étude ?</t>
  </si>
  <si>
    <t>- Processus 1</t>
  </si>
  <si>
    <t>Analyser le marché</t>
  </si>
  <si>
    <t>- Processus 2</t>
  </si>
  <si>
    <t>Concevoir des voitures</t>
  </si>
  <si>
    <t>- Processus 3</t>
  </si>
  <si>
    <t>Contruire des voitures</t>
  </si>
  <si>
    <t>- Processus 4</t>
  </si>
  <si>
    <t>Quelles sont les principales données traitées par les systèmes entrant dans le périmètre de l'étude ?</t>
  </si>
  <si>
    <t>- Famille de données 1</t>
  </si>
  <si>
    <t>Données marché</t>
  </si>
  <si>
    <t>- Famille de données 2</t>
  </si>
  <si>
    <t>Données R&amp;D</t>
  </si>
  <si>
    <t>- Famille de données 3</t>
  </si>
  <si>
    <t>Spécifications techniques</t>
  </si>
  <si>
    <t>- Famille de données 4</t>
  </si>
  <si>
    <t>Quel est le nombre d'employés / prestataires travaillant sur ce périmètre ?</t>
  </si>
  <si>
    <t>Le périmètre de l'étude est-il soumis à la LPM et/ou à la directive NIS ?</t>
  </si>
  <si>
    <t>NON</t>
  </si>
  <si>
    <t>Quel est le nombre d'actifs support entrant dans le périmètre de l'étude ?</t>
  </si>
  <si>
    <t>- Serveurs</t>
  </si>
  <si>
    <t>Moins de 100</t>
  </si>
  <si>
    <t>- Terminaux</t>
  </si>
  <si>
    <t>100 à 499</t>
  </si>
  <si>
    <t>Quel est le nombre de systèmes / applications hébergées dans le Cloud (IaaS, PaaS, SaaS) ?</t>
  </si>
  <si>
    <t>Y a-t-il des activités de développement réalisées dans le périmètre de l’étude ?</t>
  </si>
  <si>
    <t>Quelques applications simples</t>
  </si>
  <si>
    <t>Analyse d'impact métier</t>
  </si>
  <si>
    <t>Processus</t>
  </si>
  <si>
    <t>Quel est l'impact en cas d'incapacité à réaliser le processus ?</t>
  </si>
  <si>
    <t>Quel est l'impact en cas d'altération du processus ?</t>
  </si>
  <si>
    <t>Quel est l'impact en cas d'incapacité à tracer le processus ?</t>
  </si>
  <si>
    <t>Modéré</t>
  </si>
  <si>
    <t>Important</t>
  </si>
  <si>
    <t>Négligeable</t>
  </si>
  <si>
    <t>Grave</t>
  </si>
  <si>
    <t>Données</t>
  </si>
  <si>
    <t>Quel est l'impact en cas d'altération des données ?</t>
  </si>
  <si>
    <t>Quel est l'impact en cas de fuite des données ?</t>
  </si>
  <si>
    <t>Quel est l'impact en cas d'incapacité à tracer les données ?</t>
  </si>
  <si>
    <t>Disponibilité</t>
  </si>
  <si>
    <t>Intégrité</t>
  </si>
  <si>
    <t>Confidentialité</t>
  </si>
  <si>
    <t>Preuve</t>
  </si>
  <si>
    <t>Evènements redoutés</t>
  </si>
  <si>
    <t>Type de bien essentiel</t>
  </si>
  <si>
    <t>Gravité</t>
  </si>
  <si>
    <t>Critère impacté</t>
  </si>
  <si>
    <t>MALV1</t>
  </si>
  <si>
    <t>MALV2</t>
  </si>
  <si>
    <t>MALV3</t>
  </si>
  <si>
    <t>MALV4</t>
  </si>
  <si>
    <t>MALV5</t>
  </si>
  <si>
    <t>MALV6</t>
  </si>
  <si>
    <t>MALV7</t>
  </si>
  <si>
    <t>MALV8</t>
  </si>
  <si>
    <t>MALV9</t>
  </si>
  <si>
    <t>MALV10</t>
  </si>
  <si>
    <t>MALV11</t>
  </si>
  <si>
    <t>MALV12</t>
  </si>
  <si>
    <t>MALV13</t>
  </si>
  <si>
    <t>MALV14</t>
  </si>
  <si>
    <t>MALV15</t>
  </si>
  <si>
    <t>MALV16</t>
  </si>
  <si>
    <t>MALV17</t>
  </si>
  <si>
    <t>MALV18</t>
  </si>
  <si>
    <t>MALV19</t>
  </si>
  <si>
    <t>MALV20</t>
  </si>
  <si>
    <t>ERR1</t>
  </si>
  <si>
    <t>ERR2</t>
  </si>
  <si>
    <t>ERR3</t>
  </si>
  <si>
    <t>CONTR1</t>
  </si>
  <si>
    <t>CONTR2</t>
  </si>
  <si>
    <t>CONTR3</t>
  </si>
  <si>
    <t>CONTR4</t>
  </si>
  <si>
    <t>Description</t>
  </si>
  <si>
    <t>Sources de risques externes</t>
  </si>
  <si>
    <t>Objectifs visés / Impacts potentiels</t>
  </si>
  <si>
    <t>Niv. Motivation</t>
  </si>
  <si>
    <t>Niv.Ressources</t>
  </si>
  <si>
    <t>Pertinence</t>
  </si>
  <si>
    <t>Etatique</t>
  </si>
  <si>
    <t>États, agences de renseignement. Attaques généralement conduites par des professionnels, respectant un calendrier et un mode opératoire prédéfinis. Ce profil d’attaquant se caractérise par sa capacité à réaliser une opération offensive sur un temps long (ressources stables, procédures) et à adapter ses outils et méthodes à la topologie de la cible. Par extension, ces acteurs ont les moyens d’acheter ou de découvrir des vulnérabilités jour zéro (0-Day) et certains sont capables d’infiltrer des réseaux isolés et de réaliser des attaques successives pour atteindre une ou des cibles (par exemple au moyen d’une attaque visant la chaîne d’approvisionnement)</t>
  </si>
  <si>
    <t>Espionnage, influence, entrave au fonctionnement, prépositionnement stratégique</t>
  </si>
  <si>
    <t>Fortement motivé</t>
  </si>
  <si>
    <t>Ressources illimitées</t>
  </si>
  <si>
    <t>Faible</t>
  </si>
  <si>
    <t>Terroriste</t>
  </si>
  <si>
    <t>Cyberterroristes, cybermilices. Attaques habituellement peu sophistiquées mais menées avec détermination à des fins de déstabilisation et de destruction : déni de service (visant par exemple à rendre indisponibles les services d’urgence d’un centre hospitalier, arrêts intempestifs d’un système industriel de production d’énergie), exploitation de vulnérabilités de sites Internet et défigurations.</t>
  </si>
  <si>
    <t>Entrave au fonctionnement, risques cyberphysiques</t>
  </si>
  <si>
    <t>Ressources modérées</t>
  </si>
  <si>
    <t>Crime Organisé</t>
  </si>
  <si>
    <t>Organisations cybercriminelles (mafias, gangs, officines). Arnaque en ligne ou au président, demande de rançon ou attaque par rançongiciel, exploitation de réseaux de « machines robots » (botnet), etc. En raison notamment de la prolifération de kits d’attaques facilement accessibles en ligne, les cybercriminels mènent des opérations de plus en plus sophistiquées et organisées à des fins lucratives ou de fraude. Certains ont les moyens d’acheter ou de découvrir des vulnérabilités jour zéro (0-Day)</t>
  </si>
  <si>
    <t>Lucratif</t>
  </si>
  <si>
    <t>Assez motivé</t>
  </si>
  <si>
    <t>Hacktiviste</t>
  </si>
  <si>
    <t>Cyber-hacktivistes, groupements d’intérêt, sectes. Modes opératoires et sophistication des attaques relativement similaires à ceux des cyberterroristes mais motivés par des intentions moins destructrices. Certains acteurs vont mener ces attaques pour véhiculer une idéologie, un message (exemple: utilisation massive des réseaux sociaux comme caisse de résonnance)</t>
  </si>
  <si>
    <t>Influence, entrave au fonctionnement</t>
  </si>
  <si>
    <t>Ressources importantes</t>
  </si>
  <si>
    <t>Forte</t>
  </si>
  <si>
    <t>Amateur</t>
  </si>
  <si>
    <t>Profil du hacker « script-kiddies » ou doté de bonnes connaissances informatiques, et motivé par une quête de reconnaissance sociale, d’amusement, de défi. Attaques basiques mais capacité à utiliser les kits d’attaques accessibles en ligne</t>
  </si>
  <si>
    <t>Ressources limitées</t>
  </si>
  <si>
    <t>Concurrent</t>
  </si>
  <si>
    <t>Lucratif, espionnage, entrave au fonctionnement</t>
  </si>
  <si>
    <t>Sources de risques internes</t>
  </si>
  <si>
    <t>Employé (non spécialisé)</t>
  </si>
  <si>
    <t>Menace accidentelle</t>
  </si>
  <si>
    <t>Exposition et/ou altération de données</t>
  </si>
  <si>
    <t>Erreur humaine</t>
  </si>
  <si>
    <t>Administrateur métier</t>
  </si>
  <si>
    <t>Exposition et/ou altération de données métier, interruption de services</t>
  </si>
  <si>
    <t>Administrateur IT</t>
  </si>
  <si>
    <t>Vol, altération, destruction de données ou services</t>
  </si>
  <si>
    <t>Solutions</t>
  </si>
  <si>
    <t>Solution de pare-feu</t>
  </si>
  <si>
    <t>- Disposez-vous d'au moins une solution de ce type sur le périmètre étudié ?</t>
  </si>
  <si>
    <t>Firewall avancé: Sandboxing de fichiers, Browser Isolation</t>
  </si>
  <si>
    <t>- Quelles sont ces solutions ?</t>
  </si>
  <si>
    <t>- Quel est leur nombre ?</t>
  </si>
  <si>
    <t>Plus de 20</t>
  </si>
  <si>
    <t>- Quels sont les principaux cas d'usage ?</t>
  </si>
  <si>
    <t>- Quel est le TCO annuel associé ?</t>
  </si>
  <si>
    <t>En k€ (comprenant le coût de MCO/MCS associé)</t>
  </si>
  <si>
    <t>Outillage d'optimisation et d'orchestration Firewall (ex: Tufin)</t>
  </si>
  <si>
    <t>OUI</t>
  </si>
  <si>
    <t>Solution de contrôle d'accès réseau (NAC)</t>
  </si>
  <si>
    <t>Solution d'accès distants (VPN utilisateurs Nomades)</t>
  </si>
  <si>
    <t>Solution Proxy / Web Gateway</t>
  </si>
  <si>
    <t>Proxy intermédiaire: Filtrage URL avec analyse de contenu, antimalware</t>
  </si>
  <si>
    <t>Solution de Reverse Proxy / WAF</t>
  </si>
  <si>
    <t>Reverse proxy intermédiaire: Analyse applicative / WAF</t>
  </si>
  <si>
    <t>Sondes spécialisées IDPS (Détection &amp; Prévention d'intrusion)</t>
  </si>
  <si>
    <t>Solution de cybersurveillance</t>
  </si>
  <si>
    <t>ex: Détection de fuites de données sur les espaces publics, Darknet...</t>
  </si>
  <si>
    <t>Solution de gestion des identités et de contrôle d'accès</t>
  </si>
  <si>
    <t>ex: Distribution des accès, Contrôle d'accès, SSO, MFA, Revue des accès...</t>
  </si>
  <si>
    <t>Solution de détection et de gestion des vulnérabilités</t>
  </si>
  <si>
    <t>ex: Scan des sites web, du parc de serveurs, de terminaux...</t>
  </si>
  <si>
    <t>Solution d'analyse de code applicatif (AST)</t>
  </si>
  <si>
    <t>Solution de protection des mails</t>
  </si>
  <si>
    <t>Protection Mail avancée: Sandboxing de fichiers &amp; antiphishing, fonction de vérification de contenu des mails et éducation utilisateur</t>
  </si>
  <si>
    <t>Solution de gestion des terminaux (MDM)</t>
  </si>
  <si>
    <t>Ex: Déploiement de configurations, effacement à distance, blocage, chiffrement</t>
  </si>
  <si>
    <t>Solution de protection des terminaux (Antimalware, EDR)</t>
  </si>
  <si>
    <t>Solution de protection des terminaux (Antimalware basique)</t>
  </si>
  <si>
    <t>Solution de gestion des comptes à privilèges (PAM)</t>
  </si>
  <si>
    <t>Bastion, Gestion de mots de passe</t>
  </si>
  <si>
    <t>Solution de protection Cloud (CASB/CSPM)</t>
  </si>
  <si>
    <t>Solution de prévention des fuites de données (DLP)</t>
  </si>
  <si>
    <t>Solution de collecte et de traitement des événements (SIEM)</t>
  </si>
  <si>
    <t>Solution de contrôle de configuration technique (ex Puppet,Ansible)</t>
  </si>
  <si>
    <t>Solution de sensibilisation et de formation</t>
  </si>
  <si>
    <t>Solution de gestion des sauvegardes</t>
  </si>
  <si>
    <t>Services</t>
  </si>
  <si>
    <t>Service de gestion des solutions de sécurité</t>
  </si>
  <si>
    <t>- Disposez-vous d'un service de ce type ?</t>
  </si>
  <si>
    <t>- Ce service est-il interne ou externalisé ?</t>
  </si>
  <si>
    <t>Interne</t>
  </si>
  <si>
    <t>- Quel est le volume d'opérations réalisées en moyenne ?</t>
  </si>
  <si>
    <t>Actions préventives, correctives...</t>
  </si>
  <si>
    <t>- Quel est le coût annuel associé ?</t>
  </si>
  <si>
    <t>En k€ (comprenant les ETP internes ou le coût du service externalisé)</t>
  </si>
  <si>
    <t>Service de supervision de sécurité (SOC)</t>
  </si>
  <si>
    <t>- Quel est le volume d'incidents traités en moyenne ?</t>
  </si>
  <si>
    <t>1/jour /1/semaine 1/mois etc</t>
  </si>
  <si>
    <t>Service de Veille (CERT/CSIRT)</t>
  </si>
  <si>
    <t>Externe</t>
  </si>
  <si>
    <t>- Quel est le volume d'interventions réalisées en moyenne ?</t>
  </si>
  <si>
    <t>Service d'audit SSI (tous types)</t>
  </si>
  <si>
    <t>- Quelle est la quantité d'audit réalisée en moyenne sur le périmètre étudié ?</t>
  </si>
  <si>
    <t>Service de gestion de la gouvernance et des risques</t>
  </si>
  <si>
    <t>- Quelles sont les responsabilités de ce service ?</t>
  </si>
  <si>
    <t>Assistance RSSI, Intégration de la sécurité dans les projets, Analyses de risques...</t>
  </si>
  <si>
    <t>Service de gestion de la continuité</t>
  </si>
  <si>
    <t>BIA, Pilotage de la continuité/reprise d'activité, exercices et tests</t>
  </si>
  <si>
    <t>Intitulé SM</t>
  </si>
  <si>
    <t>Catégorie</t>
  </si>
  <si>
    <t>Ref MITRE</t>
  </si>
  <si>
    <t>Lien MITRE</t>
  </si>
  <si>
    <t>Nb critères impactés</t>
  </si>
  <si>
    <t>D</t>
  </si>
  <si>
    <t>I</t>
  </si>
  <si>
    <t>C</t>
  </si>
  <si>
    <t>P</t>
  </si>
  <si>
    <t>Compromission d'un poste via l'accès à un site web infecté</t>
  </si>
  <si>
    <t>Pénétration du SI</t>
  </si>
  <si>
    <t>T1189</t>
  </si>
  <si>
    <t>Compromission d'un poste par Phishing de l'utilisateur (Pièce jointe ou URL piégée)</t>
  </si>
  <si>
    <t>T1566</t>
  </si>
  <si>
    <t>Compromission d'un service d'accès réseau à distance (ex VPN, VDI…)</t>
  </si>
  <si>
    <t>T1133</t>
  </si>
  <si>
    <t>Compromission d'une application ou d'une API exposée sur Internet</t>
  </si>
  <si>
    <t>T1190</t>
  </si>
  <si>
    <t>Compromission d'un poste via une clé USB infectée</t>
  </si>
  <si>
    <t>T1091</t>
  </si>
  <si>
    <t>Compromission du réseau via une interconnexion partenaire (VPN)</t>
  </si>
  <si>
    <t>T1199</t>
  </si>
  <si>
    <t>Compromission du réseau via l'utilisation d'identifiants volés</t>
  </si>
  <si>
    <t>T1078</t>
  </si>
  <si>
    <t>Compromission du réseau via l'installation d'une application infectée</t>
  </si>
  <si>
    <t>T1195</t>
  </si>
  <si>
    <t>Accès au réseau Wi-Fi par une personne non autorisée (absence ou contournement des mécanismes de sécurité)</t>
  </si>
  <si>
    <t>Accès au réseau filaire par une personne non autorisée (absence ou contournement des mécanismes de sécurité)</t>
  </si>
  <si>
    <t>Exécution de scripts malveillants dans les interpréteurs de commande (Shell)</t>
  </si>
  <si>
    <t>Latéralisation et maintien dans le SI</t>
  </si>
  <si>
    <t>T1059</t>
  </si>
  <si>
    <t>Détournement des fonctions d'un OS pour exécuter un code malveillant (Services, Registre, Bootloader...)</t>
  </si>
  <si>
    <t>T1053</t>
  </si>
  <si>
    <t>Modification illégitime des comptes et droits d'accès permettant de maintenir un accès au SI</t>
  </si>
  <si>
    <t>T1098</t>
  </si>
  <si>
    <t>Installation de composants illégitimes au sein du navigateur Web</t>
  </si>
  <si>
    <t>T1176</t>
  </si>
  <si>
    <t>Contournement des mécanismes de contrôle afin d'effectuer une élévation de privilèges</t>
  </si>
  <si>
    <t>T1548</t>
  </si>
  <si>
    <t>Mouvement latéral en vue d'atteindre l'objectif</t>
  </si>
  <si>
    <t>T1210</t>
  </si>
  <si>
    <t>Ouverture d'un canal de commande et d'exfiltration sur le réseau</t>
  </si>
  <si>
    <t>Contrôle à distance/Exfiltration de données</t>
  </si>
  <si>
    <t>T1572, T1011</t>
  </si>
  <si>
    <t>Chiffrement et/ou suppression de données par malveillance</t>
  </si>
  <si>
    <t>Altération et /ou suppression de données</t>
  </si>
  <si>
    <t>Indisponibilité des ressources suite à une attaque par DDoS</t>
  </si>
  <si>
    <t>Indisponibilité SI</t>
  </si>
  <si>
    <t>Abus de droits en vue d'effectuer une action malveillante</t>
  </si>
  <si>
    <t>Abus de droits</t>
  </si>
  <si>
    <t>Erreur humaine entrainant une indisponibilité des services</t>
  </si>
  <si>
    <t>Erreur humaine entrainant une altération des services et/ou données</t>
  </si>
  <si>
    <t>Erreur humaine entrainant une fuite de données</t>
  </si>
  <si>
    <t>Incapacité à gérer un terminal et à mettre en oeuvre une politique de sécurité</t>
  </si>
  <si>
    <t>Déficit de contrôle</t>
  </si>
  <si>
    <t>Environnement réseau complexe impliquant des risques d'erreur importants sur les règles de cloisonnement et de filtrage réseau</t>
  </si>
  <si>
    <t>Déploiement en production de codes applicatifs vulnérables</t>
  </si>
  <si>
    <t>Incapacité à détecter un incident de sécurité et à fournir une piste d'audit post-mortem</t>
  </si>
  <si>
    <t>Cout couverture</t>
  </si>
  <si>
    <t>Type</t>
  </si>
  <si>
    <t>Applicabilité</t>
  </si>
  <si>
    <t>TECH1E</t>
  </si>
  <si>
    <t>Solution de pare-feu (élémentaire)</t>
  </si>
  <si>
    <t>TECH1I</t>
  </si>
  <si>
    <t>Solution de pare-feu (intermédiaire)</t>
  </si>
  <si>
    <t>TECH1A</t>
  </si>
  <si>
    <t>Solution de pare-feu (avancé)</t>
  </si>
  <si>
    <t>TECH2</t>
  </si>
  <si>
    <t>TECH3</t>
  </si>
  <si>
    <t>TECH4</t>
  </si>
  <si>
    <t>TECH5E</t>
  </si>
  <si>
    <t>Solution Proxy / Web Gateway (élémentaire)</t>
  </si>
  <si>
    <t>TECH5I</t>
  </si>
  <si>
    <t>Solution Proxy / Web Gateway (intermédiaire)</t>
  </si>
  <si>
    <t>TECH5A</t>
  </si>
  <si>
    <t>Solution Proxy / Web Gateway (avancé)</t>
  </si>
  <si>
    <t>TECH6E</t>
  </si>
  <si>
    <t>Solution Reverse Proxy / Loadbalancer élémentaire</t>
  </si>
  <si>
    <t>TECH6I</t>
  </si>
  <si>
    <t>Solution Reverse Proxy / Loadbalancer intermédiaire</t>
  </si>
  <si>
    <t>TECH6A</t>
  </si>
  <si>
    <t>Solution Reverse Proxy / Loadbalancer avancée</t>
  </si>
  <si>
    <t>TECH7</t>
  </si>
  <si>
    <t>TECH8</t>
  </si>
  <si>
    <t>TECH9</t>
  </si>
  <si>
    <t>TECH10</t>
  </si>
  <si>
    <t>TECH11</t>
  </si>
  <si>
    <t>TECH12E</t>
  </si>
  <si>
    <t>Solution de protection des mails (élémentaire)</t>
  </si>
  <si>
    <t>TECH12A</t>
  </si>
  <si>
    <t>Solution de protection des mails (avancé)</t>
  </si>
  <si>
    <t>TECH13</t>
  </si>
  <si>
    <t>TECH14E</t>
  </si>
  <si>
    <t>TECH14A</t>
  </si>
  <si>
    <t>Solution de protection des terminaux (EDR)</t>
  </si>
  <si>
    <t>TECH15</t>
  </si>
  <si>
    <t>TECH16</t>
  </si>
  <si>
    <t>TECH17</t>
  </si>
  <si>
    <t>TECH18</t>
  </si>
  <si>
    <t>TECH19</t>
  </si>
  <si>
    <t>TECH20</t>
  </si>
  <si>
    <t>TECH21</t>
  </si>
  <si>
    <t>SERV1</t>
  </si>
  <si>
    <t>SERV2</t>
  </si>
  <si>
    <t>SERV3</t>
  </si>
  <si>
    <t>Service de Veille et de réponse à incidents (CERT/CSIRT)</t>
  </si>
  <si>
    <t>SERV4</t>
  </si>
  <si>
    <t>Service d'audit SSI</t>
  </si>
  <si>
    <t>SERV5</t>
  </si>
  <si>
    <t>SERV6</t>
  </si>
  <si>
    <t>Libellé scénario</t>
  </si>
  <si>
    <t>Quasi certain</t>
  </si>
  <si>
    <t>La source de risque va surement atteindre son objectif visé selon l'un des modes opératoires envisagés. La vraisemblance du scénario est très élevée</t>
  </si>
  <si>
    <t>Très vraisemblable</t>
  </si>
  <si>
    <t>La source de risque va probableblement atteindre son objectif visé selon l'un des modes opératoires envisagés. La vraisemblance du scénario est élevée</t>
  </si>
  <si>
    <t>Vraisemblable</t>
  </si>
  <si>
    <t>La source de risque est susceptible d'atteindre son objectif visé selon l'un des modes opératoires envisagés. La vraisemblance du scénario est significative</t>
  </si>
  <si>
    <t>Peu vraisemblable</t>
  </si>
  <si>
    <t>La source de risque a peu de chance d'atteindre son objectif visé selon l'un des modes opératoires envisagés. La vraisemblance du scénario est faible</t>
  </si>
  <si>
    <t>Listes Contexte</t>
  </si>
  <si>
    <t>Nombre d'ETP sur le périmètre</t>
  </si>
  <si>
    <t>Moins de 10</t>
  </si>
  <si>
    <t>10 à 249</t>
  </si>
  <si>
    <t>250 à 4999</t>
  </si>
  <si>
    <t>Supérieur à 5000</t>
  </si>
  <si>
    <t>Importance RGPD</t>
  </si>
  <si>
    <t>Forte (traitements sensibles et/ou en grande quantité)</t>
  </si>
  <si>
    <t>Modérée (traitements en nombres modérés)</t>
  </si>
  <si>
    <t>Faible (peu de traitements)</t>
  </si>
  <si>
    <t>Activités de développement</t>
  </si>
  <si>
    <t>Quelques scripts</t>
  </si>
  <si>
    <t>Plusieurs applications simples</t>
  </si>
  <si>
    <t>Plusieurs applications dont au moins une complexe</t>
  </si>
  <si>
    <t>Nombre de serveurs/terminaux</t>
  </si>
  <si>
    <t>Vraisemblance SM CONTR1</t>
  </si>
  <si>
    <t>500 à 1999</t>
  </si>
  <si>
    <t>Supérieur à 2000</t>
  </si>
  <si>
    <t>Nombre d'actifs dans le Cloud</t>
  </si>
  <si>
    <t>Aucun</t>
  </si>
  <si>
    <t>10 à 49</t>
  </si>
  <si>
    <t>Plus de 50</t>
  </si>
  <si>
    <t>Listes Mesures de sécurité</t>
  </si>
  <si>
    <t>Type pare-feu</t>
  </si>
  <si>
    <t>Firewall élémentaire: Cloisonnement et filtrage réseau</t>
  </si>
  <si>
    <t>Firewall intermédiaire: Analyse L7 et filtrage URL</t>
  </si>
  <si>
    <t>Nombre pare-feu</t>
  </si>
  <si>
    <t>Vraisemblance SM CONTR2</t>
  </si>
  <si>
    <t>Moins de 5</t>
  </si>
  <si>
    <t>5 à 9</t>
  </si>
  <si>
    <t>10 à 19</t>
  </si>
  <si>
    <t>Type proxy</t>
  </si>
  <si>
    <t>Proxy élémentaire: Filtrage URL avec blacklists</t>
  </si>
  <si>
    <t>Proxy avancé: Sandboxing de fichiers, Browser Isolation</t>
  </si>
  <si>
    <t>Type Reverse Proxy</t>
  </si>
  <si>
    <t>Reverse proxy élémentaire: Reverse proxy avec filtrage basique</t>
  </si>
  <si>
    <t>Reverse proxy avancé: anti DDoS</t>
  </si>
  <si>
    <t>Type AV</t>
  </si>
  <si>
    <t>Type protection Mail</t>
  </si>
  <si>
    <t>Protection Mail élémentaire: Fonctions antispam &amp; antimalware</t>
  </si>
  <si>
    <t>Externalisation</t>
  </si>
  <si>
    <t>Externalisé</t>
  </si>
  <si>
    <t>Listes Sources de risques</t>
  </si>
  <si>
    <t>Niveau impact</t>
  </si>
  <si>
    <t>Valeur impact</t>
  </si>
  <si>
    <t>Fort</t>
  </si>
  <si>
    <t>Critique</t>
  </si>
  <si>
    <t>Risque</t>
  </si>
  <si>
    <t>Niv Gravité</t>
  </si>
  <si>
    <t>Listes ER, SM, Risques</t>
  </si>
  <si>
    <t>NR</t>
  </si>
  <si>
    <t>Total général</t>
  </si>
  <si>
    <t>Source de risque</t>
  </si>
  <si>
    <t>#SM</t>
  </si>
  <si>
    <t>Malveillance</t>
  </si>
  <si>
    <t>Admin IT</t>
  </si>
  <si>
    <t>Admin métier</t>
  </si>
  <si>
    <t>Employé</t>
  </si>
  <si>
    <t>Echelle</t>
  </si>
  <si>
    <t>Libellé</t>
  </si>
  <si>
    <t>Synthèse des sources de risques retenues et impact sur la vraisemblance des scénarios de risques</t>
  </si>
  <si>
    <t>Libellé mesure</t>
  </si>
  <si>
    <t>Couverture effective</t>
  </si>
  <si>
    <t>Couverture théorique</t>
  </si>
  <si>
    <t>Cas d'utilisation théoriques</t>
  </si>
  <si>
    <t>Cas d'utilisation effectifs</t>
  </si>
  <si>
    <t>#MS</t>
  </si>
  <si>
    <t>Nom mesure</t>
  </si>
  <si>
    <t>Mesure applicable</t>
  </si>
  <si>
    <t>TCO euros</t>
  </si>
  <si>
    <t>TCO ke</t>
  </si>
  <si>
    <t>TCO annuel</t>
  </si>
  <si>
    <t>Niv Vraisemblance</t>
  </si>
  <si>
    <t>Vrais REF</t>
  </si>
  <si>
    <t>N/A</t>
  </si>
  <si>
    <t>Vrais Retenue</t>
  </si>
  <si>
    <t>Vraisemblance</t>
  </si>
  <si>
    <t>Vraisemblance I</t>
  </si>
  <si>
    <t>Vraisemblance R</t>
  </si>
  <si>
    <t>Critères impactés</t>
  </si>
  <si>
    <t>DICP</t>
  </si>
  <si>
    <t>IC</t>
  </si>
  <si>
    <t>ICP</t>
  </si>
  <si>
    <t>NRI</t>
  </si>
  <si>
    <t>#R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</si>
  <si>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</si>
  <si>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</si>
  <si>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</si>
  <si>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</si>
  <si>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</si>
  <si>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</si>
  <si>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</si>
  <si>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</si>
  <si>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</si>
  <si>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</si>
  <si>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</si>
  <si>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</si>
  <si>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</si>
  <si>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</si>
  <si>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</si>
  <si>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</si>
  <si>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</si>
  <si>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</si>
  <si>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</si>
  <si>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</si>
  <si>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</si>
  <si>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</si>
  <si>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</si>
  <si>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</si>
  <si>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</si>
  <si>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</si>
  <si>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</si>
  <si>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NRR</t>
  </si>
  <si>
    <t>Cout couv</t>
  </si>
  <si>
    <t>Tx couv</t>
  </si>
  <si>
    <t xml:space="preserve"> </t>
  </si>
  <si>
    <t>Taux couv</t>
  </si>
  <si>
    <t>Somme de Cout couverture</t>
  </si>
  <si>
    <t>Lib RI</t>
  </si>
  <si>
    <t>Lib RR</t>
  </si>
  <si>
    <t>Niveau risque initial</t>
  </si>
  <si>
    <t>Besoins métiers</t>
  </si>
  <si>
    <t>RGPD</t>
  </si>
  <si>
    <t>LPM</t>
  </si>
  <si>
    <t>Besoins de sécurité</t>
  </si>
  <si>
    <t>Synthèse</t>
  </si>
  <si>
    <t>ER majeurs</t>
  </si>
  <si>
    <t>Gravité ER associé</t>
  </si>
  <si>
    <t>Evènements redoutés métiers principaux</t>
  </si>
  <si>
    <t>Evènements redoutés en lien avec la conformité</t>
  </si>
  <si>
    <t>Non-conformité RGPD</t>
  </si>
  <si>
    <t>Défi/amusement</t>
  </si>
  <si>
    <t>Non-conformité LPM et/ou NIS</t>
  </si>
  <si>
    <t>Synthèse des mesures de sécurité et des coûts associés</t>
  </si>
  <si>
    <t>Besoins métier</t>
  </si>
  <si>
    <t>Dans quelle mesure le périmètre de l'étude est-il soumis au RGPD ?</t>
  </si>
  <si>
    <t>Besoins de sécurité du périmètre</t>
  </si>
  <si>
    <t>Gravité Max.</t>
  </si>
  <si>
    <t>Analyse des sources de risques</t>
  </si>
  <si>
    <t>Menace délibérée pour intérêts personnels (vengence personnelle, appat du gain) ou tiers (coercition)</t>
  </si>
  <si>
    <t>Taux recouvrement</t>
  </si>
  <si>
    <t>Rec_Th_TECH1I</t>
  </si>
  <si>
    <t>Rec_Th_TECH1A</t>
  </si>
  <si>
    <t>Rec_Ef_TECH1I</t>
  </si>
  <si>
    <t>Rec_Ef_TECH1A</t>
  </si>
  <si>
    <t>Ref_Ef</t>
  </si>
  <si>
    <t>Synthèse des risques et de la couverture associée</t>
  </si>
  <si>
    <t>Niveau risque rés</t>
  </si>
  <si>
    <t>Coût MS</t>
  </si>
  <si>
    <t>Recouvrement des mesures avec TECH1I</t>
  </si>
  <si>
    <t>Recouvrement des mesures avec TECH1A</t>
  </si>
  <si>
    <t>Lib Tx Couv</t>
  </si>
  <si>
    <t>Pct Utilisation</t>
  </si>
  <si>
    <t>Légal/Juridique</t>
  </si>
  <si>
    <t>- Pas d'impossibilité à répondre aux obligations légales
- Pas de poursuites 
- Pas d'incapacité à respecter les engagements contractuels</t>
  </si>
  <si>
    <t>- Incapacité à répondre à quelques obligations légales 
- Poursuites minimes avec versements de dommages et intérêts minimes
- Incapacité à respecter les engagements contractuels</t>
  </si>
  <si>
    <t>- Incapacité à répondre aux obligations légales dans le délai imparti
- Poursuites considérables avec versements de dommages et intérêts considérables
- Incapacité à respecter les engagements contractuels envers 1 ou 2 tiers</t>
  </si>
  <si>
    <t>- Incapacité à répondre à l'ensemble des obligations légales 
- Poursuites (très) importantes avec versements de dommages et intérêts (très) importants
- Incapacité à respecter les engagements contractuels envers plus de 3 tiers
- Sanctions pénales
- Disparition de la société (fermeture juridique)</t>
  </si>
  <si>
    <t>Image</t>
  </si>
  <si>
    <t xml:space="preserve">- Pas de médiatisation 
- Absence/très faible atteinte à la réputation/image 
- Pas/très peu d'efforts pour redorer l'image </t>
  </si>
  <si>
    <t>- Médiatisation sur un petit périmètre
- Atteinte à l'image en interne et sur un nombre limité de clients ou partenaires
- Réhabilitation rapide de l'image (actions spécifiques/localisées)</t>
  </si>
  <si>
    <t>- Médiatisation sur un large périmètre
- Forte atteinte à l'image/réputation (ou e-réputation)
- Réhabilitation de l'image par des efforts conséquents mais ponctuels</t>
  </si>
  <si>
    <t>- Médiatisation qui perdure sur un large périmètre
-Très forte atteinte à l'image/réputation (ou e-réputation)
-Réhabilitation de l'image par des efforts conséquents et durables</t>
  </si>
  <si>
    <t>Opérationnel</t>
  </si>
  <si>
    <t>- Perturbation/retard léger dans la réalisation des activités
- Absorption du retard par un effort minime et ponctuel</t>
  </si>
  <si>
    <t>- Perturbations conséquentes dans la réalisation des activités
- Besoin de plan d'actions spécifiques
- Besoin de renfort de ressources à court terme</t>
  </si>
  <si>
    <t>- Perturbation importante dans la réalisation des activités 
 - Besoin d'un plan d'actions spécifiques (avec implication du top management)
 - Besoin de renfort ressources important</t>
  </si>
  <si>
    <t>- Désorganisation durable et non maitrisée conduisant à la non réalisation des activités (voire cessation des activités)</t>
  </si>
  <si>
    <t>Financier</t>
  </si>
  <si>
    <t>- Perte de bénéfices &lt; 1% 
- Entre 0% et 1% de personnes en incapacité de réaliser leur activité 
- Aucunes pertes de client ou partenariat suite à incident de sécurité</t>
  </si>
  <si>
    <t>- Perte de bénéfices entre 2% et 5%
- Entre 2% et 5% de personnes en incapacité de réaliser leur activité 
- Aucunes pertes de client ou partenariat suite à incident de sécurité</t>
  </si>
  <si>
    <t>- Perte de bénéfices entre 5% et 10%
- Entre 5% et 10% de personnes en incapacité de réaliser leur activité 
- Pertes de clients ou partenariat suite à incident de sécurité</t>
  </si>
  <si>
    <t>- Perte de bénéfices &gt; 10%
- Plus de 10% de personnes en incapacité de réaliser leur activité 
- Pertes de nombreux clients et partenaires suite à incident de sécurité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</si>
</sst>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#,##0_ ;\-#,##0\ "/>
    <numFmt numFmtId="165" formatCode="_-* #,##0\ &quot;€&quot;_-;\-* #,##0\ &quot;€&quot;_-;_-* &quot;-&quot;??\ &quot;€&quot;_-;_-@_-"/>
    <numFmt numFmtId="166" formatCode="#,##0\ &quot;€&quot;"/>
    <numFmt numFmtId="167" formatCode="0.000000000"/>
  </numFmts>
  <fonts count="33" x14ac:knownFonts="1">
    <font>
      <sz val="10"/>
      <color rgb="FF000000"/>
      <name val="Arial"/>
    </font>
    <font>
      <sz val="10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0"/>
      <name val="Arial"/>
      <family val="2"/>
    </font>
    <font>
      <b/>
      <sz val="14"/>
      <color rgb="FF000000"/>
      <name val="Calibri"/>
      <family val="2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8"/>
      <name val="Arial"/>
      <family val="2"/>
    </font>
    <font>
      <b/>
      <sz val="11"/>
      <name val="Calibr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b/>
      <sz val="22"/>
      <color rgb="FF000000"/>
      <name val="Calibri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u/>
      <sz val="10"/>
      <color rgb="FF0000FF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rgb="FF000000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b/>
      <sz val="11"/>
      <color rgb="FFFFFFFF"/>
      <name val="Arial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E8F0FE"/>
        <bgColor rgb="FFE8F0FE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50"/>
        <bgColor rgb="FF00B050"/>
      </patternFill>
    </fill>
    <fill>
      <patternFill patternType="solid">
        <fgColor rgb="FFFFC000"/>
        <bgColor rgb="FFFFC000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13" fillId="0" borderId="5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187">
    <xf numFmtId="0" fontId="0" fillId="0" borderId="0" xfId="0" applyFont="1" applyAlignment="1"/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6" borderId="0" xfId="0" applyFont="1" applyFill="1" applyAlignment="1"/>
    <xf numFmtId="0" fontId="1" fillId="6" borderId="0" xfId="0" applyFont="1" applyFill="1" applyAlignment="1">
      <alignment horizontal="center"/>
    </xf>
    <xf numFmtId="9" fontId="1" fillId="6" borderId="0" xfId="0" applyNumberFormat="1" applyFont="1" applyFill="1"/>
    <xf numFmtId="0" fontId="5" fillId="5" borderId="0" xfId="0" applyFont="1" applyFill="1" applyAlignment="1"/>
    <xf numFmtId="0" fontId="1" fillId="5" borderId="0" xfId="0" applyFont="1" applyFill="1"/>
    <xf numFmtId="0" fontId="1" fillId="6" borderId="0" xfId="0" applyFont="1" applyFill="1"/>
    <xf numFmtId="0" fontId="1" fillId="6" borderId="0" xfId="0" applyFont="1" applyFill="1" applyAlignment="1"/>
    <xf numFmtId="0" fontId="1" fillId="5" borderId="0" xfId="0" applyFont="1" applyFill="1" applyAlignment="1">
      <alignment horizontal="center"/>
    </xf>
    <xf numFmtId="0" fontId="5" fillId="6" borderId="0" xfId="0" applyFont="1" applyFill="1" applyAlignment="1"/>
    <xf numFmtId="0" fontId="5" fillId="5" borderId="0" xfId="0" applyFont="1" applyFill="1" applyAlignment="1"/>
    <xf numFmtId="0" fontId="1" fillId="5" borderId="0" xfId="0" applyFont="1" applyFill="1" applyAlignment="1"/>
    <xf numFmtId="0" fontId="1" fillId="0" borderId="0" xfId="0" applyFont="1" applyAlignment="1"/>
    <xf numFmtId="0" fontId="5" fillId="6" borderId="0" xfId="0" applyFont="1" applyFill="1" applyAlignment="1"/>
    <xf numFmtId="0" fontId="5" fillId="6" borderId="0" xfId="0" applyFont="1" applyFill="1" applyAlignment="1"/>
    <xf numFmtId="0" fontId="1" fillId="5" borderId="0" xfId="0" applyFont="1" applyFill="1" applyAlignment="1"/>
    <xf numFmtId="0" fontId="5" fillId="5" borderId="0" xfId="0" applyFont="1" applyFill="1" applyAlignme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/>
    <xf numFmtId="0" fontId="8" fillId="0" borderId="0" xfId="0" applyFont="1"/>
    <xf numFmtId="0" fontId="0" fillId="0" borderId="0" xfId="0" applyFont="1" applyAlignment="1"/>
    <xf numFmtId="0" fontId="10" fillId="0" borderId="0" xfId="0" applyFont="1"/>
    <xf numFmtId="0" fontId="12" fillId="0" borderId="0" xfId="0" applyFont="1" applyAlignment="1">
      <alignment horizontal="left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 wrapText="1"/>
    </xf>
    <xf numFmtId="164" fontId="0" fillId="0" borderId="0" xfId="2" applyNumberFormat="1" applyFont="1" applyAlignment="1"/>
    <xf numFmtId="0" fontId="0" fillId="0" borderId="0" xfId="0" pivotButton="1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15" fillId="0" borderId="7" xfId="0" applyFont="1" applyBorder="1" applyAlignment="1">
      <alignment horizontal="center"/>
    </xf>
    <xf numFmtId="0" fontId="6" fillId="0" borderId="7" xfId="0" applyFont="1" applyBorder="1" applyAlignment="1">
      <alignment wrapText="1"/>
    </xf>
    <xf numFmtId="0" fontId="6" fillId="8" borderId="7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vertical="center"/>
    </xf>
    <xf numFmtId="0" fontId="1" fillId="8" borderId="7" xfId="0" applyFont="1" applyFill="1" applyBorder="1" applyAlignment="1">
      <alignment wrapText="1"/>
    </xf>
    <xf numFmtId="0" fontId="6" fillId="7" borderId="7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vertical="center"/>
    </xf>
    <xf numFmtId="0" fontId="1" fillId="7" borderId="7" xfId="0" applyFont="1" applyFill="1" applyBorder="1" applyAlignment="1">
      <alignment wrapText="1"/>
    </xf>
    <xf numFmtId="0" fontId="6" fillId="3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vertical="center"/>
    </xf>
    <xf numFmtId="0" fontId="1" fillId="3" borderId="7" xfId="0" applyFont="1" applyFill="1" applyBorder="1" applyAlignment="1">
      <alignment wrapText="1"/>
    </xf>
    <xf numFmtId="0" fontId="6" fillId="4" borderId="7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vertical="center"/>
    </xf>
    <xf numFmtId="0" fontId="1" fillId="4" borderId="7" xfId="0" applyFont="1" applyFill="1" applyBorder="1" applyAlignment="1">
      <alignment wrapText="1"/>
    </xf>
    <xf numFmtId="0" fontId="6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vertical="center"/>
    </xf>
    <xf numFmtId="0" fontId="1" fillId="0" borderId="5" xfId="0" applyFont="1" applyFill="1" applyBorder="1" applyAlignment="1">
      <alignment wrapText="1"/>
    </xf>
    <xf numFmtId="0" fontId="13" fillId="0" borderId="0" xfId="0" applyFont="1" applyAlignment="1"/>
    <xf numFmtId="0" fontId="0" fillId="0" borderId="0" xfId="0"/>
    <xf numFmtId="0" fontId="13" fillId="0" borderId="0" xfId="0" applyFont="1" applyFill="1" applyAlignment="1">
      <alignment horizontal="left"/>
    </xf>
    <xf numFmtId="0" fontId="18" fillId="0" borderId="8" xfId="0" applyFont="1" applyFill="1" applyBorder="1" applyAlignment="1">
      <alignment horizontal="left" vertical="center"/>
    </xf>
    <xf numFmtId="0" fontId="13" fillId="0" borderId="0" xfId="0" applyFont="1" applyFill="1" applyAlignment="1"/>
    <xf numFmtId="0" fontId="18" fillId="0" borderId="0" xfId="0" applyFont="1" applyFill="1" applyAlignment="1">
      <alignment horizontal="center"/>
    </xf>
    <xf numFmtId="0" fontId="19" fillId="0" borderId="0" xfId="0" applyFont="1" applyFill="1"/>
    <xf numFmtId="0" fontId="18" fillId="0" borderId="0" xfId="0" applyFont="1" applyFill="1"/>
    <xf numFmtId="0" fontId="20" fillId="0" borderId="0" xfId="0" applyFont="1" applyFill="1" applyAlignment="1">
      <alignment horizontal="center" vertical="center"/>
    </xf>
    <xf numFmtId="0" fontId="18" fillId="0" borderId="0" xfId="0" applyFont="1" applyFill="1" applyAlignment="1"/>
    <xf numFmtId="0" fontId="13" fillId="0" borderId="5" xfId="0" applyFont="1" applyBorder="1" applyAlignment="1"/>
    <xf numFmtId="1" fontId="13" fillId="0" borderId="0" xfId="0" applyNumberFormat="1" applyFont="1" applyFill="1" applyAlignment="1"/>
    <xf numFmtId="2" fontId="13" fillId="0" borderId="0" xfId="0" applyNumberFormat="1" applyFont="1" applyAlignment="1"/>
    <xf numFmtId="164" fontId="13" fillId="0" borderId="5" xfId="3" applyNumberFormat="1" applyFont="1" applyBorder="1" applyAlignment="1"/>
    <xf numFmtId="165" fontId="13" fillId="0" borderId="0" xfId="3" applyNumberFormat="1" applyFont="1" applyAlignment="1"/>
    <xf numFmtId="165" fontId="0" fillId="0" borderId="0" xfId="0" applyNumberFormat="1" applyFont="1" applyAlignment="1">
      <alignment vertical="center" wrapText="1"/>
    </xf>
    <xf numFmtId="0" fontId="0" fillId="0" borderId="0" xfId="0" pivotButton="1" applyFont="1" applyAlignment="1">
      <alignment horizontal="center" vertical="center" wrapText="1"/>
    </xf>
    <xf numFmtId="166" fontId="0" fillId="0" borderId="0" xfId="0" applyNumberFormat="1" applyFont="1" applyAlignment="1">
      <alignment horizontal="center" vertical="center" wrapText="1"/>
    </xf>
    <xf numFmtId="164" fontId="13" fillId="0" borderId="0" xfId="2" applyNumberFormat="1" applyFont="1" applyAlignment="1"/>
    <xf numFmtId="0" fontId="0" fillId="0" borderId="0" xfId="0" applyFont="1" applyAlignment="1"/>
    <xf numFmtId="0" fontId="0" fillId="0" borderId="0" xfId="0" pivotButton="1" applyFont="1" applyAlignment="1"/>
    <xf numFmtId="0" fontId="1" fillId="0" borderId="8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center"/>
    </xf>
    <xf numFmtId="166" fontId="0" fillId="0" borderId="0" xfId="0" applyNumberFormat="1" applyFont="1" applyAlignment="1">
      <alignment horizontal="center" vertical="center"/>
    </xf>
    <xf numFmtId="166" fontId="18" fillId="0" borderId="0" xfId="0" applyNumberFormat="1" applyFont="1" applyFill="1" applyAlignment="1">
      <alignment horizontal="center"/>
    </xf>
    <xf numFmtId="9" fontId="18" fillId="0" borderId="0" xfId="4" applyFont="1" applyFill="1" applyAlignment="1">
      <alignment horizontal="center"/>
    </xf>
    <xf numFmtId="9" fontId="0" fillId="0" borderId="0" xfId="0" applyNumberFormat="1" applyFont="1" applyAlignment="1">
      <alignment vertical="center" wrapText="1"/>
    </xf>
    <xf numFmtId="1" fontId="18" fillId="0" borderId="0" xfId="0" applyNumberFormat="1" applyFont="1" applyFill="1" applyAlignment="1">
      <alignment horizontal="center"/>
    </xf>
    <xf numFmtId="9" fontId="0" fillId="0" borderId="0" xfId="0" applyNumberFormat="1" applyFont="1" applyAlignment="1">
      <alignment horizontal="center" vertical="center"/>
    </xf>
    <xf numFmtId="0" fontId="4" fillId="0" borderId="5" xfId="0" applyFont="1" applyFill="1" applyBorder="1"/>
    <xf numFmtId="0" fontId="16" fillId="5" borderId="5" xfId="0" applyFont="1" applyFill="1" applyBorder="1" applyAlignment="1"/>
    <xf numFmtId="0" fontId="1" fillId="0" borderId="5" xfId="0" applyFont="1" applyBorder="1" applyAlignment="1"/>
    <xf numFmtId="0" fontId="20" fillId="2" borderId="5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left" vertical="center" wrapText="1"/>
    </xf>
    <xf numFmtId="0" fontId="20" fillId="2" borderId="9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4" fillId="0" borderId="11" xfId="0" applyFont="1" applyBorder="1"/>
    <xf numFmtId="0" fontId="23" fillId="9" borderId="5" xfId="0" applyFont="1" applyFill="1" applyBorder="1" applyAlignment="1">
      <alignment vertical="center" wrapText="1"/>
    </xf>
    <xf numFmtId="0" fontId="20" fillId="0" borderId="0" xfId="0" applyFont="1" applyAlignment="1">
      <alignment horizontal="left" vertical="center" wrapText="1"/>
    </xf>
    <xf numFmtId="0" fontId="22" fillId="9" borderId="5" xfId="0" applyFont="1" applyFill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18" fillId="0" borderId="4" xfId="0" applyFont="1" applyFill="1" applyBorder="1" applyAlignment="1">
      <alignment horizontal="left" vertical="center"/>
    </xf>
    <xf numFmtId="0" fontId="18" fillId="0" borderId="8" xfId="0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Font="1" applyAlignment="1"/>
    <xf numFmtId="9" fontId="0" fillId="0" borderId="0" xfId="0" applyNumberFormat="1" applyFont="1" applyAlignment="1"/>
    <xf numFmtId="0" fontId="25" fillId="0" borderId="0" xfId="0" applyFont="1" applyAlignment="1">
      <alignment horizontal="center"/>
    </xf>
    <xf numFmtId="0" fontId="1" fillId="0" borderId="0" xfId="0" applyFont="1"/>
    <xf numFmtId="0" fontId="24" fillId="2" borderId="0" xfId="0" applyFont="1" applyFill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/>
    <xf numFmtId="0" fontId="27" fillId="0" borderId="0" xfId="0" quotePrefix="1" applyFont="1" applyAlignment="1"/>
    <xf numFmtId="0" fontId="27" fillId="0" borderId="0" xfId="0" applyFont="1" applyAlignment="1">
      <alignment horizontal="center"/>
    </xf>
    <xf numFmtId="0" fontId="27" fillId="0" borderId="0" xfId="0" applyFont="1" applyAlignment="1"/>
    <xf numFmtId="0" fontId="28" fillId="0" borderId="0" xfId="0" applyFont="1" applyAlignment="1"/>
    <xf numFmtId="0" fontId="27" fillId="0" borderId="0" xfId="0" applyFont="1" applyFill="1" applyAlignment="1"/>
    <xf numFmtId="0" fontId="24" fillId="0" borderId="0" xfId="0" applyFont="1" applyAlignment="1">
      <alignment horizontal="center"/>
    </xf>
    <xf numFmtId="0" fontId="24" fillId="2" borderId="0" xfId="0" applyFont="1" applyFill="1" applyAlignment="1">
      <alignment horizontal="center" vertical="center"/>
    </xf>
    <xf numFmtId="0" fontId="24" fillId="2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/>
    </xf>
    <xf numFmtId="9" fontId="27" fillId="6" borderId="0" xfId="0" applyNumberFormat="1" applyFont="1" applyFill="1"/>
    <xf numFmtId="0" fontId="27" fillId="0" borderId="0" xfId="0" applyFont="1" applyAlignment="1">
      <alignment horizontal="left"/>
    </xf>
    <xf numFmtId="9" fontId="27" fillId="6" borderId="0" xfId="0" applyNumberFormat="1" applyFont="1" applyFill="1" applyAlignment="1">
      <alignment horizontal="left"/>
    </xf>
    <xf numFmtId="0" fontId="23" fillId="9" borderId="5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9" fontId="27" fillId="6" borderId="0" xfId="0" applyNumberFormat="1" applyFont="1" applyFill="1" applyAlignment="1">
      <alignment horizontal="center" vertical="center"/>
    </xf>
    <xf numFmtId="0" fontId="27" fillId="0" borderId="5" xfId="0" applyFont="1" applyBorder="1" applyAlignment="1">
      <alignment horizontal="left" vertical="center" wrapText="1"/>
    </xf>
    <xf numFmtId="9" fontId="27" fillId="6" borderId="0" xfId="0" applyNumberFormat="1" applyFont="1" applyFill="1" applyAlignment="1">
      <alignment vertical="center" wrapText="1"/>
    </xf>
    <xf numFmtId="9" fontId="27" fillId="0" borderId="0" xfId="0" applyNumberFormat="1" applyFont="1" applyFill="1"/>
    <xf numFmtId="0" fontId="27" fillId="0" borderId="5" xfId="0" applyFont="1" applyBorder="1" applyAlignment="1">
      <alignment vertical="center"/>
    </xf>
    <xf numFmtId="0" fontId="27" fillId="0" borderId="5" xfId="0" applyFont="1" applyBorder="1" applyAlignment="1">
      <alignment vertical="center" wrapText="1"/>
    </xf>
    <xf numFmtId="2" fontId="0" fillId="0" borderId="0" xfId="0" applyNumberFormat="1"/>
    <xf numFmtId="2" fontId="0" fillId="0" borderId="0" xfId="0" applyNumberFormat="1" applyFont="1" applyAlignment="1"/>
    <xf numFmtId="167" fontId="0" fillId="0" borderId="0" xfId="0" applyNumberFormat="1"/>
    <xf numFmtId="0" fontId="13" fillId="0" borderId="0" xfId="0" applyNumberFormat="1" applyFont="1" applyAlignment="1"/>
    <xf numFmtId="0" fontId="13" fillId="0" borderId="0" xfId="0" applyFont="1"/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9" fontId="0" fillId="0" borderId="0" xfId="4" applyFont="1" applyAlignment="1">
      <alignment vertical="center" wrapText="1"/>
    </xf>
    <xf numFmtId="9" fontId="13" fillId="0" borderId="0" xfId="0" applyNumberFormat="1" applyFont="1" applyAlignment="1"/>
    <xf numFmtId="9" fontId="13" fillId="0" borderId="0" xfId="4" applyFont="1" applyAlignment="1"/>
    <xf numFmtId="9" fontId="13" fillId="0" borderId="0" xfId="4" applyFont="1" applyFill="1" applyAlignment="1"/>
    <xf numFmtId="0" fontId="0" fillId="0" borderId="0" xfId="0" applyFont="1" applyAlignment="1"/>
    <xf numFmtId="0" fontId="27" fillId="0" borderId="0" xfId="0" applyFont="1" applyFill="1"/>
    <xf numFmtId="0" fontId="30" fillId="0" borderId="0" xfId="0" applyFont="1" applyAlignment="1">
      <alignment horizontal="left"/>
    </xf>
    <xf numFmtId="0" fontId="31" fillId="10" borderId="15" xfId="0" applyFont="1" applyFill="1" applyBorder="1" applyAlignment="1">
      <alignment horizontal="center"/>
    </xf>
    <xf numFmtId="0" fontId="31" fillId="3" borderId="3" xfId="0" applyFont="1" applyFill="1" applyBorder="1" applyAlignment="1">
      <alignment horizontal="center"/>
    </xf>
    <xf numFmtId="0" fontId="31" fillId="11" borderId="3" xfId="0" applyFont="1" applyFill="1" applyBorder="1" applyAlignment="1">
      <alignment horizontal="center"/>
    </xf>
    <xf numFmtId="0" fontId="31" fillId="8" borderId="3" xfId="0" applyFont="1" applyFill="1" applyBorder="1" applyAlignment="1">
      <alignment horizontal="center"/>
    </xf>
    <xf numFmtId="0" fontId="31" fillId="0" borderId="15" xfId="0" applyFont="1" applyBorder="1" applyAlignment="1">
      <alignment horizontal="center" vertical="center"/>
    </xf>
    <xf numFmtId="0" fontId="32" fillId="0" borderId="15" xfId="0" applyFont="1" applyBorder="1" applyAlignment="1">
      <alignment vertical="center" wrapText="1"/>
    </xf>
    <xf numFmtId="0" fontId="32" fillId="0" borderId="3" xfId="0" applyFont="1" applyBorder="1" applyAlignment="1">
      <alignment vertical="center" wrapText="1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vertical="center" wrapText="1"/>
    </xf>
    <xf numFmtId="0" fontId="32" fillId="0" borderId="16" xfId="0" applyFont="1" applyBorder="1" applyAlignment="1">
      <alignment vertical="center" wrapText="1"/>
    </xf>
    <xf numFmtId="0" fontId="32" fillId="0" borderId="16" xfId="0" quotePrefix="1" applyFont="1" applyBorder="1" applyAlignment="1">
      <alignment vertical="center" wrapText="1"/>
    </xf>
    <xf numFmtId="0" fontId="25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24" fillId="2" borderId="5" xfId="0" applyFont="1" applyFill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0" fillId="0" borderId="0" xfId="0" applyFont="1" applyAlignment="1"/>
    <xf numFmtId="0" fontId="7" fillId="5" borderId="1" xfId="0" applyFont="1" applyFill="1" applyBorder="1" applyAlignment="1">
      <alignment horizontal="center"/>
    </xf>
    <xf numFmtId="0" fontId="1" fillId="5" borderId="2" xfId="0" applyFont="1" applyFill="1" applyBorder="1"/>
    <xf numFmtId="0" fontId="1" fillId="5" borderId="3" xfId="0" applyFont="1" applyFill="1" applyBorder="1"/>
    <xf numFmtId="0" fontId="16" fillId="5" borderId="6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/>
    </xf>
    <xf numFmtId="0" fontId="23" fillId="9" borderId="5" xfId="0" applyFont="1" applyFill="1" applyBorder="1" applyAlignment="1">
      <alignment horizontal="center" vertical="center" wrapText="1"/>
    </xf>
    <xf numFmtId="0" fontId="16" fillId="5" borderId="6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/>
    </xf>
  </cellXfs>
  <cellStyles count="5">
    <cellStyle name="Milliers" xfId="2" builtinId="3"/>
    <cellStyle name="Monétaire" xfId="3" builtinId="4"/>
    <cellStyle name="Normal" xfId="0" builtinId="0"/>
    <cellStyle name="Normal 2" xfId="1" xr:uid="{F5A4AC00-289B-4FFD-A128-6515713C14CD}"/>
    <cellStyle name="Pourcentage" xfId="4" builtinId="5"/>
  </cellStyles>
  <dxfs count="367"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_-* #,##0\ &quot;€&quot;_-;\-* #,##0\ &quot;€&quot;_-;_-* &quot;-&quot;??\ &quot;€&quot;_-;_-@_-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" formatCode="0.00"/>
      <alignment horizontal="general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5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#,##0_ ;\-#,##0\ 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6" formatCode="#,##0\ &quot;€&quot;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rgb="FF000000"/>
        </top>
      </border>
    </dxf>
    <dxf>
      <font>
        <strike val="0"/>
        <outline val="0"/>
        <shadow val="0"/>
        <vertAlign val="baseline"/>
        <sz val="1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alignment horizontal="center"/>
    </dxf>
    <dxf>
      <alignment vertical="center"/>
    </dxf>
    <dxf>
      <numFmt numFmtId="166" formatCode="#,##0\ &quot;€&quot;"/>
    </dxf>
    <dxf>
      <alignment horizontal="center"/>
    </dxf>
    <dxf>
      <alignment vertical="center"/>
    </dxf>
    <dxf>
      <numFmt numFmtId="13" formatCode="0%"/>
    </dxf>
    <dxf>
      <numFmt numFmtId="13" formatCode="0%"/>
    </dxf>
    <dxf>
      <numFmt numFmtId="168" formatCode="0.00000000"/>
    </dxf>
    <dxf>
      <numFmt numFmtId="13" formatCode="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numFmt numFmtId="166" formatCode="#,##0\ &quot;€&quot;"/>
      <alignment horizontal="center" vertical="center" wrapText="1"/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C0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</font>
    </dxf>
    <dxf>
      <alignment wrapText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\ &quot;€&quot;_-;\-* #,##0\ &quot;€&quot;_-;_-* &quot;-&quot;??\ &quot;€&quot;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3" formatCode="0%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/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</dxfs>
  <tableStyles count="4">
    <tableStyle name="INPUT_ContexteBIA-style" pivot="0" count="2" xr9:uid="{00000000-0011-0000-FFFF-FFFF00000000}">
      <tableStyleElement type="firstRowStripe" dxfId="366"/>
      <tableStyleElement type="secondRowStripe" dxfId="365"/>
    </tableStyle>
    <tableStyle name="INPUT_Mesures Actuelles-style" pivot="0" count="2" xr9:uid="{00000000-0011-0000-FFFF-FFFF01000000}">
      <tableStyleElement type="firstRowStripe" dxfId="364"/>
      <tableStyleElement type="secondRowStripe" dxfId="363"/>
    </tableStyle>
    <tableStyle name="INPUT_Mesures Actuelles-style 2" pivot="0" count="2" xr9:uid="{00000000-0011-0000-FFFF-FFFF02000000}">
      <tableStyleElement type="firstRowStripe" dxfId="362"/>
      <tableStyleElement type="secondRowStripe" dxfId="361"/>
    </tableStyle>
    <tableStyle name="OUTPUT_Mesures-style" pivot="0" count="3" xr9:uid="{00000000-0011-0000-FFFF-FFFF03000000}">
      <tableStyleElement type="headerRow" dxfId="360"/>
      <tableStyleElement type="firstRowStripe" dxfId="359"/>
      <tableStyleElement type="secondRowStripe" dxfId="35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5.xml"/><Relationship Id="rId21" Type="http://schemas.openxmlformats.org/officeDocument/2006/relationships/pivotCacheDefinition" Target="pivotCache/pivotCacheDefinition9.xml"/><Relationship Id="rId34" Type="http://schemas.openxmlformats.org/officeDocument/2006/relationships/pivotTable" Target="pivotTables/pivotTable1.xml"/><Relationship Id="rId42" Type="http://schemas.openxmlformats.org/officeDocument/2006/relationships/styles" Target="styles.xml"/><Relationship Id="rId47" Type="http://schemas.openxmlformats.org/officeDocument/2006/relationships/customXml" Target="../customXml/item1.xml"/><Relationship Id="rId50" Type="http://schemas.openxmlformats.org/officeDocument/2006/relationships/customXml" Target="../customXml/item4.xml"/><Relationship Id="rId55" Type="http://schemas.openxmlformats.org/officeDocument/2006/relationships/customXml" Target="../customXml/item9.xml"/><Relationship Id="rId63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11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3.xml"/><Relationship Id="rId32" Type="http://schemas.openxmlformats.org/officeDocument/2006/relationships/pivotCacheDefinition" Target="pivotCache/pivotCacheDefinition14.xml"/><Relationship Id="rId37" Type="http://schemas.openxmlformats.org/officeDocument/2006/relationships/pivotTable" Target="pivotTables/pivotTable4.xml"/><Relationship Id="rId40" Type="http://schemas.openxmlformats.org/officeDocument/2006/relationships/theme" Target="theme/theme1.xml"/><Relationship Id="rId45" Type="http://schemas.openxmlformats.org/officeDocument/2006/relationships/powerPivotData" Target="model/item.data"/><Relationship Id="rId53" Type="http://schemas.openxmlformats.org/officeDocument/2006/relationships/customXml" Target="../customXml/item7.xml"/><Relationship Id="rId58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5.xml"/><Relationship Id="rId19" Type="http://schemas.openxmlformats.org/officeDocument/2006/relationships/pivotCacheDefinition" Target="pivotCache/pivotCacheDefinition7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1.xml"/><Relationship Id="rId27" Type="http://schemas.microsoft.com/office/2007/relationships/slicerCache" Target="slicerCaches/slicerCache6.xml"/><Relationship Id="rId30" Type="http://schemas.openxmlformats.org/officeDocument/2006/relationships/pivotCacheDefinition" Target="pivotCache/pivotCacheDefinition12.xml"/><Relationship Id="rId35" Type="http://schemas.openxmlformats.org/officeDocument/2006/relationships/pivotTable" Target="pivotTables/pivotTable2.xml"/><Relationship Id="rId43" Type="http://schemas.openxmlformats.org/officeDocument/2006/relationships/sharedStrings" Target="sharedStrings.xml"/><Relationship Id="rId48" Type="http://schemas.openxmlformats.org/officeDocument/2006/relationships/customXml" Target="../customXml/item2.xml"/><Relationship Id="rId56" Type="http://schemas.openxmlformats.org/officeDocument/2006/relationships/customXml" Target="../customXml/item10.xml"/><Relationship Id="rId64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microsoft.com/office/2007/relationships/slicerCache" Target="slicerCaches/slicerCache4.xml"/><Relationship Id="rId33" Type="http://schemas.openxmlformats.org/officeDocument/2006/relationships/pivotCacheDefinition" Target="pivotCache/pivotCacheDefinition15.xml"/><Relationship Id="rId38" Type="http://schemas.openxmlformats.org/officeDocument/2006/relationships/pivotTable" Target="pivotTables/pivotTable5.xml"/><Relationship Id="rId46" Type="http://schemas.openxmlformats.org/officeDocument/2006/relationships/calcChain" Target="calcChain.xml"/><Relationship Id="rId59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8.xml"/><Relationship Id="rId41" Type="http://schemas.openxmlformats.org/officeDocument/2006/relationships/connections" Target="connections.xml"/><Relationship Id="rId54" Type="http://schemas.openxmlformats.org/officeDocument/2006/relationships/customXml" Target="../customXml/item8.xml"/><Relationship Id="rId62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2.xml"/><Relationship Id="rId28" Type="http://schemas.openxmlformats.org/officeDocument/2006/relationships/pivotCacheDefinition" Target="pivotCache/pivotCacheDefinition10.xml"/><Relationship Id="rId36" Type="http://schemas.openxmlformats.org/officeDocument/2006/relationships/pivotTable" Target="pivotTables/pivotTable3.xml"/><Relationship Id="rId49" Type="http://schemas.openxmlformats.org/officeDocument/2006/relationships/customXml" Target="../customXml/item3.xml"/><Relationship Id="rId57" Type="http://schemas.openxmlformats.org/officeDocument/2006/relationships/customXml" Target="../customXml/item11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3.xml"/><Relationship Id="rId44" Type="http://schemas.openxmlformats.org/officeDocument/2006/relationships/sheetMetadata" Target="metadata.xml"/><Relationship Id="rId52" Type="http://schemas.openxmlformats.org/officeDocument/2006/relationships/customXml" Target="../customXml/item6.xml"/><Relationship Id="rId60" Type="http://schemas.openxmlformats.org/officeDocument/2006/relationships/customXml" Target="../customXml/item14.xml"/><Relationship Id="rId65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9" Type="http://schemas.openxmlformats.org/officeDocument/2006/relationships/pivotTable" Target="pivotTables/pivotTab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sources par</a:t>
            </a:r>
            <a:r>
              <a:rPr lang="en-US" baseline="0"/>
              <a:t> pertinence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245-4157-B96F-2971B2FF34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245-4157-B96F-2971B2FF34C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Faible</c:v>
              </c:pt>
              <c:pt idx="1">
                <c:v>Forte</c:v>
              </c:pt>
            </c:strLit>
          </c:cat>
          <c:val>
            <c:numLit>
              <c:formatCode>General</c:formatCode>
              <c:ptCount val="2"/>
              <c:pt idx="0">
                <c:v>4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3C-A245-4157-B96F-2971B2FF34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test.xlsx]PivotChartTable2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Répartition des sources par 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7C0B-4961-9786-DA0E5E44E00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7C0B-4961-9786-DA0E5E44E0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Erreur humaine</c:v>
              </c:pt>
              <c:pt idx="1">
                <c:v>Malveillance</c:v>
              </c:pt>
            </c:strLit>
          </c:cat>
          <c:val>
            <c:numLit>
              <c:formatCode>General</c:formatCode>
              <c:ptCount val="2"/>
              <c:pt idx="0">
                <c:v>3</c:v>
              </c:pt>
              <c:pt idx="1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4-7C0B-4961-9786-DA0E5E44E0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test.xlsx]PivotChartTable3</c15:name>
        <c15:fmtId val="3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Vraisemblance</a:t>
            </a:r>
            <a:r>
              <a:rPr lang="en-US" baseline="0"/>
              <a:t> par scénario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2</c:v>
              </c:pt>
              <c:pt idx="1">
                <c:v>4</c:v>
              </c:pt>
              <c:pt idx="2">
                <c:v>2</c:v>
              </c:pt>
              <c:pt idx="3">
                <c:v>2</c:v>
              </c:pt>
              <c:pt idx="4">
                <c:v>2</c:v>
              </c:pt>
              <c:pt idx="5">
                <c:v>4</c:v>
              </c:pt>
              <c:pt idx="6">
                <c:v>4</c:v>
              </c:pt>
              <c:pt idx="7">
                <c:v>4</c:v>
              </c:pt>
              <c:pt idx="8">
                <c:v>1</c:v>
              </c:pt>
              <c:pt idx="9">
                <c:v>3</c:v>
              </c:pt>
              <c:pt idx="10">
                <c:v>3</c:v>
              </c:pt>
              <c:pt idx="11">
                <c:v>3</c:v>
              </c:pt>
              <c:pt idx="12">
                <c:v>4</c:v>
              </c:pt>
              <c:pt idx="13">
                <c:v>3</c:v>
              </c:pt>
              <c:pt idx="14">
                <c:v>4</c:v>
              </c:pt>
              <c:pt idx="15">
                <c:v>4</c:v>
              </c:pt>
              <c:pt idx="16">
                <c:v>4</c:v>
              </c:pt>
              <c:pt idx="17">
                <c:v>4</c:v>
              </c:pt>
              <c:pt idx="18">
                <c:v>4</c:v>
              </c:pt>
              <c:pt idx="19">
                <c:v>2</c:v>
              </c:pt>
              <c:pt idx="20">
                <c:v>3</c:v>
              </c:pt>
              <c:pt idx="21">
                <c:v>3</c:v>
              </c:pt>
              <c:pt idx="22">
                <c:v>3</c:v>
              </c:pt>
              <c:pt idx="23">
                <c:v>3</c:v>
              </c:pt>
              <c:pt idx="24">
                <c:v>4</c:v>
              </c:pt>
              <c:pt idx="25">
                <c:v>3</c:v>
              </c:pt>
              <c:pt idx="26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DA6F-4A4F-BBB9-453FC8DF4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70202399"/>
        <c:axId val="1496663215"/>
      </c:barChart>
      <c:catAx>
        <c:axId val="1870202399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66321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49666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20239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test.xlsx]PivotChartTable5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du budget global par mesure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651-4232-995C-B4EDC5F515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651-4232-995C-B4EDC5F515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651-4232-995C-B4EDC5F515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651-4232-995C-B4EDC5F515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651-4232-995C-B4EDC5F515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651-4232-995C-B4EDC5F515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651-4232-995C-B4EDC5F5151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651-4232-995C-B4EDC5F5151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651-4232-995C-B4EDC5F5151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651-4232-995C-B4EDC5F51514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651-4232-995C-B4EDC5F51514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651-4232-995C-B4EDC5F51514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8651-4232-995C-B4EDC5F51514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8651-4232-995C-B4EDC5F51514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651-4232-995C-B4EDC5F51514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8651-4232-995C-B4EDC5F51514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8651-4232-995C-B4EDC5F51514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8651-4232-995C-B4EDC5F51514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8651-4232-995C-B4EDC5F51514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8651-4232-995C-B4EDC5F51514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8651-4232-995C-B4EDC5F51514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8651-4232-995C-B4EDC5F51514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8651-4232-995C-B4EDC5F51514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8651-4232-995C-B4EDC5F51514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8651-4232-995C-B4EDC5F51514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8651-4232-995C-B4EDC5F51514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8651-4232-995C-B4EDC5F51514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8651-4232-995C-B4EDC5F51514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8651-4232-995C-B4EDC5F51514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8651-4232-995C-B4EDC5F51514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8651-4232-995C-B4EDC5F51514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8651-4232-995C-B4EDC5F51514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8651-4232-995C-B4EDC5F51514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8651-4232-995C-B4EDC5F51514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8651-4232-995C-B4EDC5F5151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5"/>
              <c:pt idx="0">
                <c:v>SERV1</c:v>
              </c:pt>
              <c:pt idx="1">
                <c:v>SERV2</c:v>
              </c:pt>
              <c:pt idx="2">
                <c:v>SERV3</c:v>
              </c:pt>
              <c:pt idx="3">
                <c:v>SERV4</c:v>
              </c:pt>
              <c:pt idx="4">
                <c:v>SERV5</c:v>
              </c:pt>
              <c:pt idx="5">
                <c:v>SERV6</c:v>
              </c:pt>
              <c:pt idx="6">
                <c:v>TECH10</c:v>
              </c:pt>
              <c:pt idx="7">
                <c:v>TECH11</c:v>
              </c:pt>
              <c:pt idx="8">
                <c:v>TECH12A</c:v>
              </c:pt>
              <c:pt idx="9">
                <c:v>TECH12E</c:v>
              </c:pt>
              <c:pt idx="10">
                <c:v>TECH13</c:v>
              </c:pt>
              <c:pt idx="11">
                <c:v>TECH14A</c:v>
              </c:pt>
              <c:pt idx="12">
                <c:v>TECH14E</c:v>
              </c:pt>
              <c:pt idx="13">
                <c:v>TECH15</c:v>
              </c:pt>
              <c:pt idx="14">
                <c:v>TECH16</c:v>
              </c:pt>
              <c:pt idx="15">
                <c:v>TECH17</c:v>
              </c:pt>
              <c:pt idx="16">
                <c:v>TECH18</c:v>
              </c:pt>
              <c:pt idx="17">
                <c:v>TECH19</c:v>
              </c:pt>
              <c:pt idx="18">
                <c:v>TECH1A</c:v>
              </c:pt>
              <c:pt idx="19">
                <c:v>TECH1E</c:v>
              </c:pt>
              <c:pt idx="20">
                <c:v>TECH1I</c:v>
              </c:pt>
              <c:pt idx="21">
                <c:v>TECH2</c:v>
              </c:pt>
              <c:pt idx="22">
                <c:v>TECH20</c:v>
              </c:pt>
              <c:pt idx="23">
                <c:v>TECH21</c:v>
              </c:pt>
              <c:pt idx="24">
                <c:v>TECH3</c:v>
              </c:pt>
              <c:pt idx="25">
                <c:v>TECH4</c:v>
              </c:pt>
              <c:pt idx="26">
                <c:v>TECH5A</c:v>
              </c:pt>
              <c:pt idx="27">
                <c:v>TECH5E</c:v>
              </c:pt>
              <c:pt idx="28">
                <c:v>TECH5I</c:v>
              </c:pt>
              <c:pt idx="29">
                <c:v>TECH6A</c:v>
              </c:pt>
              <c:pt idx="30">
                <c:v>TECH6E</c:v>
              </c:pt>
              <c:pt idx="31">
                <c:v>TECH6I</c:v>
              </c:pt>
              <c:pt idx="32">
                <c:v>TECH7</c:v>
              </c:pt>
              <c:pt idx="33">
                <c:v>TECH8</c:v>
              </c:pt>
              <c:pt idx="34">
                <c:v>TECH9</c:v>
              </c:pt>
            </c:strLit>
          </c:cat>
          <c:val>
            <c:numLit>
              <c:formatCode>General</c:formatCode>
              <c:ptCount val="35"/>
              <c:pt idx="0">
                <c:v>79000</c:v>
              </c:pt>
              <c:pt idx="1">
                <c:v>98000</c:v>
              </c:pt>
              <c:pt idx="2">
                <c:v>88000</c:v>
              </c:pt>
              <c:pt idx="3">
                <c:v>87000</c:v>
              </c:pt>
              <c:pt idx="4">
                <c:v>89000</c:v>
              </c:pt>
              <c:pt idx="5">
                <c:v>56000</c:v>
              </c:pt>
              <c:pt idx="6">
                <c:v>23000</c:v>
              </c:pt>
              <c:pt idx="7">
                <c:v>111000</c:v>
              </c:pt>
              <c:pt idx="8">
                <c:v>21000</c:v>
              </c:pt>
              <c:pt idx="9">
                <c:v>0</c:v>
              </c:pt>
              <c:pt idx="10">
                <c:v>60000</c:v>
              </c:pt>
              <c:pt idx="11">
                <c:v>40000</c:v>
              </c:pt>
              <c:pt idx="12">
                <c:v>0</c:v>
              </c:pt>
              <c:pt idx="13">
                <c:v>99000</c:v>
              </c:pt>
              <c:pt idx="14">
                <c:v>44000</c:v>
              </c:pt>
              <c:pt idx="15">
                <c:v>67000</c:v>
              </c:pt>
              <c:pt idx="16">
                <c:v>8000</c:v>
              </c:pt>
              <c:pt idx="17">
                <c:v>33000</c:v>
              </c:pt>
              <c:pt idx="18">
                <c:v>20000</c:v>
              </c:pt>
              <c:pt idx="19">
                <c:v>0</c:v>
              </c:pt>
              <c:pt idx="20">
                <c:v>0</c:v>
              </c:pt>
              <c:pt idx="21">
                <c:v>90000</c:v>
              </c:pt>
              <c:pt idx="22">
                <c:v>22000</c:v>
              </c:pt>
              <c:pt idx="23">
                <c:v>90000</c:v>
              </c:pt>
              <c:pt idx="24">
                <c:v>0</c:v>
              </c:pt>
              <c:pt idx="25">
                <c:v>87000</c:v>
              </c:pt>
              <c:pt idx="26">
                <c:v>0</c:v>
              </c:pt>
              <c:pt idx="27">
                <c:v>0</c:v>
              </c:pt>
              <c:pt idx="28">
                <c:v>20000</c:v>
              </c:pt>
              <c:pt idx="29">
                <c:v>0</c:v>
              </c:pt>
              <c:pt idx="30">
                <c:v>0</c:v>
              </c:pt>
              <c:pt idx="31">
                <c:v>40000</c:v>
              </c:pt>
              <c:pt idx="32">
                <c:v>0</c:v>
              </c:pt>
              <c:pt idx="33">
                <c:v>56000</c:v>
              </c:pt>
              <c:pt idx="34">
                <c:v>43000</c:v>
              </c:pt>
            </c:numLit>
          </c:val>
          <c:extLst>
            <c:ext xmlns:c16="http://schemas.microsoft.com/office/drawing/2014/chart" uri="{C3380CC4-5D6E-409C-BE32-E72D297353CC}">
              <c16:uniqueId val="{00000001-6CD9-4A4F-BCDE-E591FE8B79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test.xlsx]PivotChartTable4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</a:t>
            </a:r>
            <a:r>
              <a:rPr lang="en-US" baseline="0"/>
              <a:t> des coûts de couverture par scénario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SERV1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4298.0984035516785</c:v>
              </c:pt>
              <c:pt idx="1">
                <c:v>3782.3265951254775</c:v>
              </c:pt>
              <c:pt idx="2">
                <c:v>2424.5683302086395</c:v>
              </c:pt>
              <c:pt idx="3">
                <c:v>8343.3674892473773</c:v>
              </c:pt>
              <c:pt idx="4">
                <c:v>2865.3989357011196</c:v>
              </c:pt>
              <c:pt idx="5">
                <c:v>2488.3727599509721</c:v>
              </c:pt>
              <c:pt idx="6">
                <c:v>2363.9541219534235</c:v>
              </c:pt>
              <c:pt idx="7">
                <c:v>1525.1316915828538</c:v>
              </c:pt>
              <c:pt idx="8">
                <c:v>4502.7697561017585</c:v>
              </c:pt>
              <c:pt idx="9">
                <c:v>2251.3848780508793</c:v>
              </c:pt>
              <c:pt idx="10">
                <c:v>4502.7697561017585</c:v>
              </c:pt>
              <c:pt idx="11">
                <c:v>2363.9541219534235</c:v>
              </c:pt>
              <c:pt idx="12">
                <c:v>1390.5612482078961</c:v>
              </c:pt>
              <c:pt idx="13">
                <c:v>2781.1224964157923</c:v>
              </c:pt>
              <c:pt idx="14">
                <c:v>2055.6122799594987</c:v>
              </c:pt>
              <c:pt idx="15">
                <c:v>2011.8758484709983</c:v>
              </c:pt>
              <c:pt idx="16">
                <c:v>3377.0773170763196</c:v>
              </c:pt>
              <c:pt idx="17">
                <c:v>1891.1632975627388</c:v>
              </c:pt>
              <c:pt idx="18">
                <c:v>1525.1316915828538</c:v>
              </c:pt>
              <c:pt idx="19">
                <c:v>3939.923536589039</c:v>
              </c:pt>
              <c:pt idx="20">
                <c:v>1477.4713262208895</c:v>
              </c:pt>
              <c:pt idx="21">
                <c:v>1719.2393614206715</c:v>
              </c:pt>
              <c:pt idx="22">
                <c:v>2149.0492017758393</c:v>
              </c:pt>
              <c:pt idx="23">
                <c:v>3782.3265951254784</c:v>
              </c:pt>
              <c:pt idx="24">
                <c:v>2424.5683302086395</c:v>
              </c:pt>
              <c:pt idx="25">
                <c:v>3260.6263751081701</c:v>
              </c:pt>
              <c:pt idx="26">
                <c:v>3502.1542547458125</c:v>
              </c:pt>
            </c:numLit>
          </c:val>
          <c:extLst>
            <c:ext xmlns:c16="http://schemas.microsoft.com/office/drawing/2014/chart" uri="{C3380CC4-5D6E-409C-BE32-E72D297353CC}">
              <c16:uniqueId val="{00000001-2521-41E8-90F2-E387F78B2A4F}"/>
            </c:ext>
          </c:extLst>
        </c:ser>
        <c:ser>
          <c:idx val="1"/>
          <c:order val="1"/>
          <c:tx>
            <c:v>SERV3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9827.5633180100758</c:v>
              </c:pt>
              <c:pt idx="3">
                <c:v>15030.390956956588</c:v>
              </c:pt>
              <c:pt idx="9">
                <c:v>4562.7972547903919</c:v>
              </c:pt>
              <c:pt idx="10">
                <c:v>7604.6620913173192</c:v>
              </c:pt>
              <c:pt idx="11">
                <c:v>4790.937117529912</c:v>
              </c:pt>
              <c:pt idx="12">
                <c:v>2818.1983044293597</c:v>
              </c:pt>
              <c:pt idx="16">
                <c:v>11406.99313697598</c:v>
              </c:pt>
              <c:pt idx="17">
                <c:v>6387.9161567065494</c:v>
              </c:pt>
              <c:pt idx="18">
                <c:v>5151.545333000171</c:v>
              </c:pt>
              <c:pt idx="21">
                <c:v>3484.3179036581178</c:v>
              </c:pt>
              <c:pt idx="22">
                <c:v>4355.397379572647</c:v>
              </c:pt>
              <c:pt idx="23">
                <c:v>7665.4993880478596</c:v>
              </c:pt>
              <c:pt idx="24">
                <c:v>4913.7816590050379</c:v>
              </c:pt>
            </c:numLit>
          </c:val>
          <c:extLst>
            <c:ext xmlns:c16="http://schemas.microsoft.com/office/drawing/2014/chart" uri="{C3380CC4-5D6E-409C-BE32-E72D297353CC}">
              <c16:uniqueId val="{00000002-2521-41E8-90F2-E387F78B2A4F}"/>
            </c:ext>
          </c:extLst>
        </c:ser>
        <c:ser>
          <c:idx val="2"/>
          <c:order val="2"/>
          <c:tx>
            <c:v>SERV4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">
                <c:v>10818.652982580712</c:v>
              </c:pt>
              <c:pt idx="2">
                <c:v>11096.054341108424</c:v>
              </c:pt>
              <c:pt idx="5">
                <c:v>4270.5209141765963</c:v>
              </c:pt>
              <c:pt idx="6">
                <c:v>4056.994868467767</c:v>
              </c:pt>
              <c:pt idx="9">
                <c:v>3863.8046366359681</c:v>
              </c:pt>
              <c:pt idx="10">
                <c:v>3863.8046366359681</c:v>
              </c:pt>
              <c:pt idx="11">
                <c:v>6761.6581141129445</c:v>
              </c:pt>
              <c:pt idx="12">
                <c:v>2386.4675696869217</c:v>
              </c:pt>
              <c:pt idx="13">
                <c:v>7954.8918989564054</c:v>
              </c:pt>
              <c:pt idx="14">
                <c:v>3527.8216247545797</c:v>
              </c:pt>
              <c:pt idx="15">
                <c:v>3452.7615901853328</c:v>
              </c:pt>
              <c:pt idx="16">
                <c:v>5795.7069549539528</c:v>
              </c:pt>
              <c:pt idx="17">
                <c:v>3245.5958947742133</c:v>
              </c:pt>
              <c:pt idx="19">
                <c:v>6761.6581141129445</c:v>
              </c:pt>
              <c:pt idx="20">
                <c:v>4226.0363213205901</c:v>
              </c:pt>
              <c:pt idx="21">
                <c:v>4917.5695375366868</c:v>
              </c:pt>
            </c:numLit>
          </c:val>
          <c:extLst>
            <c:ext xmlns:c16="http://schemas.microsoft.com/office/drawing/2014/chart" uri="{C3380CC4-5D6E-409C-BE32-E72D297353CC}">
              <c16:uniqueId val="{00000003-2521-41E8-90F2-E387F78B2A4F}"/>
            </c:ext>
          </c:extLst>
        </c:ser>
        <c:ser>
          <c:idx val="3"/>
          <c:order val="3"/>
          <c:tx>
            <c:v>SERV5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27670.756710503811</c:v>
              </c:pt>
              <c:pt idx="1">
                <c:v>12175.132952621676</c:v>
              </c:pt>
              <c:pt idx="2">
                <c:v>7804.5724055267165</c:v>
              </c:pt>
              <c:pt idx="3">
                <c:v>8952.3036416335872</c:v>
              </c:pt>
              <c:pt idx="8">
                <c:v>9662.8039306521223</c:v>
              </c:pt>
              <c:pt idx="11">
                <c:v>15218.916190777096</c:v>
              </c:pt>
              <c:pt idx="26">
                <c:v>7515.5141682849853</c:v>
              </c:pt>
            </c:numLit>
          </c:val>
          <c:extLst>
            <c:ext xmlns:c16="http://schemas.microsoft.com/office/drawing/2014/chart" uri="{C3380CC4-5D6E-409C-BE32-E72D297353CC}">
              <c16:uniqueId val="{00000004-2521-41E8-90F2-E387F78B2A4F}"/>
            </c:ext>
          </c:extLst>
        </c:ser>
        <c:ser>
          <c:idx val="4"/>
          <c:order val="4"/>
          <c:tx>
            <c:v>SERV6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28649.735063036729</c:v>
              </c:pt>
              <c:pt idx="16">
                <c:v>8441.439795359036</c:v>
              </c:pt>
              <c:pt idx="17">
                <c:v>18908.82514160424</c:v>
              </c:pt>
            </c:numLit>
          </c:val>
          <c:extLst>
            <c:ext xmlns:c16="http://schemas.microsoft.com/office/drawing/2014/chart" uri="{C3380CC4-5D6E-409C-BE32-E72D297353CC}">
              <c16:uniqueId val="{00000005-2521-41E8-90F2-E387F78B2A4F}"/>
            </c:ext>
          </c:extLst>
        </c:ser>
        <c:ser>
          <c:idx val="5"/>
          <c:order val="5"/>
          <c:tx>
            <c:v>TECH10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7124.9062552611849</c:v>
              </c:pt>
              <c:pt idx="14">
                <c:v>5033.9011586084471</c:v>
              </c:pt>
              <c:pt idx="20">
                <c:v>5788.9863323997124</c:v>
              </c:pt>
              <c:pt idx="21">
                <c:v>5052.2062537306583</c:v>
              </c:pt>
            </c:numLit>
          </c:val>
          <c:extLst>
            <c:ext xmlns:c16="http://schemas.microsoft.com/office/drawing/2014/chart" uri="{C3380CC4-5D6E-409C-BE32-E72D297353CC}">
              <c16:uniqueId val="{00000006-2521-41E8-90F2-E387F78B2A4F}"/>
            </c:ext>
          </c:extLst>
        </c:ser>
        <c:ser>
          <c:idx val="6"/>
          <c:order val="6"/>
          <c:tx>
            <c:v>TECH11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">
                <c:v>64946.808510638301</c:v>
              </c:pt>
              <c:pt idx="21">
                <c:v>46053.191489361707</c:v>
              </c:pt>
            </c:numLit>
          </c:val>
          <c:extLst>
            <c:ext xmlns:c16="http://schemas.microsoft.com/office/drawing/2014/chart" uri="{C3380CC4-5D6E-409C-BE32-E72D297353CC}">
              <c16:uniqueId val="{00000007-2521-41E8-90F2-E387F78B2A4F}"/>
            </c:ext>
          </c:extLst>
        </c:ser>
        <c:ser>
          <c:idx val="7"/>
          <c:order val="7"/>
          <c:tx>
            <c:v>TECH12A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8037.0370370370383</c:v>
              </c:pt>
              <c:pt idx="18">
                <c:v>12962.962962962962</c:v>
              </c:pt>
            </c:numLit>
          </c:val>
          <c:extLst>
            <c:ext xmlns:c16="http://schemas.microsoft.com/office/drawing/2014/chart" uri="{C3380CC4-5D6E-409C-BE32-E72D297353CC}">
              <c16:uniqueId val="{00000008-2521-41E8-90F2-E387F78B2A4F}"/>
            </c:ext>
          </c:extLst>
        </c:ser>
        <c:ser>
          <c:idx val="8"/>
          <c:order val="8"/>
          <c:tx>
            <c:v>TECH12E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2521-41E8-90F2-E387F78B2A4F}"/>
            </c:ext>
          </c:extLst>
        </c:ser>
        <c:ser>
          <c:idx val="9"/>
          <c:order val="9"/>
          <c:tx>
            <c:v>TECH13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30168.281489036202</c:v>
              </c:pt>
              <c:pt idx="12">
                <c:v>6100.2039775624671</c:v>
              </c:pt>
              <c:pt idx="22">
                <c:v>9427.5879653238135</c:v>
              </c:pt>
              <c:pt idx="25">
                <c:v>14303.92656807751</c:v>
              </c:pt>
            </c:numLit>
          </c:val>
          <c:extLst>
            <c:ext xmlns:c16="http://schemas.microsoft.com/office/drawing/2014/chart" uri="{C3380CC4-5D6E-409C-BE32-E72D297353CC}">
              <c16:uniqueId val="{0000000A-2521-41E8-90F2-E387F78B2A4F}"/>
            </c:ext>
          </c:extLst>
        </c:ser>
        <c:ser>
          <c:idx val="10"/>
          <c:order val="10"/>
          <c:tx>
            <c:v>TECH14A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2327.8557768294218</c:v>
              </c:pt>
              <c:pt idx="9">
                <c:v>3818.1761418895276</c:v>
              </c:pt>
              <c:pt idx="10">
                <c:v>3818.1761418895276</c:v>
              </c:pt>
              <c:pt idx="12">
                <c:v>2358.2852641082382</c:v>
              </c:pt>
              <c:pt idx="13">
                <c:v>3773.2564225731808</c:v>
              </c:pt>
              <c:pt idx="14">
                <c:v>3486.1608252034821</c:v>
              </c:pt>
              <c:pt idx="15">
                <c:v>2729.5897524997476</c:v>
              </c:pt>
              <c:pt idx="18">
                <c:v>2845.1570605692937</c:v>
              </c:pt>
              <c:pt idx="22">
                <c:v>4009.0849489840043</c:v>
              </c:pt>
              <c:pt idx="25">
                <c:v>6082.7495777688337</c:v>
              </c:pt>
              <c:pt idx="26">
                <c:v>4751.5080876847451</c:v>
              </c:pt>
            </c:numLit>
          </c:val>
          <c:extLst>
            <c:ext xmlns:c16="http://schemas.microsoft.com/office/drawing/2014/chart" uri="{C3380CC4-5D6E-409C-BE32-E72D297353CC}">
              <c16:uniqueId val="{0000000B-2521-41E8-90F2-E387F78B2A4F}"/>
            </c:ext>
          </c:extLst>
        </c:ser>
        <c:ser>
          <c:idx val="11"/>
          <c:order val="11"/>
          <c:tx>
            <c:v>TECH14E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9">
                <c:v>0</c:v>
              </c:pt>
              <c:pt idx="10">
                <c:v>0</c:v>
              </c:pt>
              <c:pt idx="12">
                <c:v>0</c:v>
              </c:pt>
              <c:pt idx="14">
                <c:v>0</c:v>
              </c:pt>
              <c:pt idx="15">
                <c:v>0</c:v>
              </c:pt>
              <c:pt idx="18">
                <c:v>0</c:v>
              </c:pt>
              <c:pt idx="22">
                <c:v>0</c:v>
              </c:pt>
              <c:pt idx="25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2521-41E8-90F2-E387F78B2A4F}"/>
            </c:ext>
          </c:extLst>
        </c:ser>
        <c:ser>
          <c:idx val="12"/>
          <c:order val="12"/>
          <c:tx>
            <c:v>TECH15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9">
                <c:v>18965.948801300281</c:v>
              </c:pt>
              <c:pt idx="10">
                <c:v>18965.948801300281</c:v>
              </c:pt>
              <c:pt idx="11">
                <c:v>12446.403900853311</c:v>
              </c:pt>
              <c:pt idx="12">
                <c:v>7321.4140593254779</c:v>
              </c:pt>
              <c:pt idx="13">
                <c:v>23428.524989841528</c:v>
              </c:pt>
              <c:pt idx="24">
                <c:v>17871.759447379114</c:v>
              </c:pt>
            </c:numLit>
          </c:val>
          <c:extLst>
            <c:ext xmlns:c16="http://schemas.microsoft.com/office/drawing/2014/chart" uri="{C3380CC4-5D6E-409C-BE32-E72D297353CC}">
              <c16:uniqueId val="{0000000D-2521-41E8-90F2-E387F78B2A4F}"/>
            </c:ext>
          </c:extLst>
        </c:ser>
        <c:ser>
          <c:idx val="13"/>
          <c:order val="13"/>
          <c:tx>
            <c:v>TECH16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13602.342987308819</c:v>
              </c:pt>
              <c:pt idx="5">
                <c:v>9450.0488122356019</c:v>
              </c:pt>
              <c:pt idx="6">
                <c:v>13466.319557435731</c:v>
              </c:pt>
              <c:pt idx="19">
                <c:v>7481.2886430198505</c:v>
              </c:pt>
            </c:numLit>
          </c:val>
          <c:extLst>
            <c:ext xmlns:c16="http://schemas.microsoft.com/office/drawing/2014/chart" uri="{C3380CC4-5D6E-409C-BE32-E72D297353CC}">
              <c16:uniqueId val="{0000000E-2521-41E8-90F2-E387F78B2A4F}"/>
            </c:ext>
          </c:extLst>
        </c:ser>
        <c:ser>
          <c:idx val="14"/>
          <c:order val="14"/>
          <c:tx>
            <c:v>TECH17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47294.117647058825</c:v>
              </c:pt>
              <c:pt idx="19">
                <c:v>19705.882352941178</c:v>
              </c:pt>
            </c:numLit>
          </c:val>
          <c:extLst>
            <c:ext xmlns:c16="http://schemas.microsoft.com/office/drawing/2014/chart" uri="{C3380CC4-5D6E-409C-BE32-E72D297353CC}">
              <c16:uniqueId val="{0000000F-2521-41E8-90F2-E387F78B2A4F}"/>
            </c:ext>
          </c:extLst>
        </c:ser>
        <c:ser>
          <c:idx val="15"/>
          <c:order val="15"/>
          <c:tx>
            <c:v>TECH18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0">
                <c:v>359.61376189261665</c:v>
              </c:pt>
              <c:pt idx="1">
                <c:v>316.46011046550268</c:v>
              </c:pt>
              <c:pt idx="2">
                <c:v>202.85904517019404</c:v>
              </c:pt>
              <c:pt idx="3">
                <c:v>930.76503078089024</c:v>
              </c:pt>
              <c:pt idx="4">
                <c:v>239.74250792841116</c:v>
              </c:pt>
              <c:pt idx="5">
                <c:v>208.19744109572545</c:v>
              </c:pt>
              <c:pt idx="6">
                <c:v>197.78756904093916</c:v>
              </c:pt>
              <c:pt idx="7">
                <c:v>127.60488325221881</c:v>
              </c:pt>
              <c:pt idx="8">
                <c:v>753.476453489292</c:v>
              </c:pt>
              <c:pt idx="9">
                <c:v>188.369113372323</c:v>
              </c:pt>
              <c:pt idx="10">
                <c:v>188.369113372323</c:v>
              </c:pt>
              <c:pt idx="11">
                <c:v>197.78756904093916</c:v>
              </c:pt>
              <c:pt idx="12">
                <c:v>116.34562884761128</c:v>
              </c:pt>
              <c:pt idx="13">
                <c:v>232.69125769522256</c:v>
              </c:pt>
              <c:pt idx="14">
                <c:v>171.98919047038191</c:v>
              </c:pt>
              <c:pt idx="15">
                <c:v>168.32984599228865</c:v>
              </c:pt>
              <c:pt idx="16">
                <c:v>282.55367005848456</c:v>
              </c:pt>
              <c:pt idx="17">
                <c:v>632.92022093100536</c:v>
              </c:pt>
              <c:pt idx="18">
                <c:v>127.60488325221881</c:v>
              </c:pt>
              <c:pt idx="19">
                <c:v>824.11487100391321</c:v>
              </c:pt>
              <c:pt idx="20">
                <c:v>123.61723065058698</c:v>
              </c:pt>
              <c:pt idx="21">
                <c:v>143.84550475704668</c:v>
              </c:pt>
              <c:pt idx="22">
                <c:v>179.80688094630833</c:v>
              </c:pt>
              <c:pt idx="23">
                <c:v>316.46011046550274</c:v>
              </c:pt>
              <c:pt idx="24">
                <c:v>202.85904517019404</c:v>
              </c:pt>
              <c:pt idx="25">
                <c:v>272.81044005646777</c:v>
              </c:pt>
              <c:pt idx="26">
                <c:v>293.01862080139136</c:v>
              </c:pt>
            </c:numLit>
          </c:val>
          <c:extLst>
            <c:ext xmlns:c16="http://schemas.microsoft.com/office/drawing/2014/chart" uri="{C3380CC4-5D6E-409C-BE32-E72D297353CC}">
              <c16:uniqueId val="{00000010-2521-41E8-90F2-E387F78B2A4F}"/>
            </c:ext>
          </c:extLst>
        </c:ser>
        <c:ser>
          <c:idx val="16"/>
          <c:order val="16"/>
          <c:tx>
            <c:v>TECH19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4219.7650340554364</c:v>
              </c:pt>
              <c:pt idx="5">
                <c:v>5863.2524683717647</c:v>
              </c:pt>
              <c:pt idx="9">
                <c:v>3315.5296696149858</c:v>
              </c:pt>
              <c:pt idx="10">
                <c:v>3315.5296696149858</c:v>
              </c:pt>
              <c:pt idx="12">
                <c:v>2047.8271488798441</c:v>
              </c:pt>
              <c:pt idx="13">
                <c:v>4095.6542977596882</c:v>
              </c:pt>
              <c:pt idx="20">
                <c:v>2175.8163456848347</c:v>
              </c:pt>
              <c:pt idx="22">
                <c:v>3164.8237755415776</c:v>
              </c:pt>
              <c:pt idx="25">
                <c:v>4801.8015904768763</c:v>
              </c:pt>
            </c:numLit>
          </c:val>
          <c:extLst>
            <c:ext xmlns:c16="http://schemas.microsoft.com/office/drawing/2014/chart" uri="{C3380CC4-5D6E-409C-BE32-E72D297353CC}">
              <c16:uniqueId val="{00000011-2521-41E8-90F2-E387F78B2A4F}"/>
            </c:ext>
          </c:extLst>
        </c:ser>
        <c:ser>
          <c:idx val="17"/>
          <c:order val="17"/>
          <c:tx>
            <c:v>TECH1A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3372.0322157290584</c:v>
              </c:pt>
              <c:pt idx="12">
                <c:v>2690.1874662250207</c:v>
              </c:pt>
              <c:pt idx="14">
                <c:v>1704.3423699065354</c:v>
              </c:pt>
              <c:pt idx="15">
                <c:v>2224.1063550553363</c:v>
              </c:pt>
              <c:pt idx="17">
                <c:v>1829.3274770330145</c:v>
              </c:pt>
              <c:pt idx="20">
                <c:v>2858.3241828640844</c:v>
              </c:pt>
              <c:pt idx="21">
                <c:v>1663.0249791209224</c:v>
              </c:pt>
              <c:pt idx="23">
                <c:v>3658.6549540660289</c:v>
              </c:pt>
            </c:numLit>
          </c:val>
          <c:extLst>
            <c:ext xmlns:c16="http://schemas.microsoft.com/office/drawing/2014/chart" uri="{C3380CC4-5D6E-409C-BE32-E72D297353CC}">
              <c16:uniqueId val="{00000012-2521-41E8-90F2-E387F78B2A4F}"/>
            </c:ext>
          </c:extLst>
        </c:ser>
        <c:ser>
          <c:idx val="18"/>
          <c:order val="18"/>
          <c:tx>
            <c:v>TECH1E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3-2521-41E8-90F2-E387F78B2A4F}"/>
            </c:ext>
          </c:extLst>
        </c:ser>
        <c:ser>
          <c:idx val="19"/>
          <c:order val="19"/>
          <c:tx>
            <c:v>TECH1I</c:v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4-2521-41E8-90F2-E387F78B2A4F}"/>
            </c:ext>
          </c:extLst>
        </c:ser>
        <c:ser>
          <c:idx val="20"/>
          <c:order val="20"/>
          <c:tx>
            <c:v>TECH2</c:v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">
                <c:v>90000</c:v>
              </c:pt>
            </c:numLit>
          </c:val>
          <c:extLst>
            <c:ext xmlns:c16="http://schemas.microsoft.com/office/drawing/2014/chart" uri="{C3380CC4-5D6E-409C-BE32-E72D297353CC}">
              <c16:uniqueId val="{00000015-2521-41E8-90F2-E387F78B2A4F}"/>
            </c:ext>
          </c:extLst>
        </c:ser>
        <c:ser>
          <c:idx val="21"/>
          <c:order val="21"/>
          <c:tx>
            <c:v>TECH20</c:v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4">
                <c:v>3788.8216270179005</c:v>
              </c:pt>
              <c:pt idx="5">
                <c:v>3290.2924655681763</c:v>
              </c:pt>
              <c:pt idx="6">
                <c:v>3125.7778422897677</c:v>
              </c:pt>
              <c:pt idx="7">
                <c:v>2016.6308659933986</c:v>
              </c:pt>
              <c:pt idx="9">
                <c:v>2976.9312783712071</c:v>
              </c:pt>
              <c:pt idx="18">
                <c:v>2823.2832123907574</c:v>
              </c:pt>
              <c:pt idx="22">
                <c:v>3978.2627083687948</c:v>
              </c:pt>
            </c:numLit>
          </c:val>
          <c:extLst>
            <c:ext xmlns:c16="http://schemas.microsoft.com/office/drawing/2014/chart" uri="{C3380CC4-5D6E-409C-BE32-E72D297353CC}">
              <c16:uniqueId val="{00000016-2521-41E8-90F2-E387F78B2A4F}"/>
            </c:ext>
          </c:extLst>
        </c:ser>
        <c:ser>
          <c:idx val="22"/>
          <c:order val="22"/>
          <c:tx>
            <c:v>TECH21</c:v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5">
                <c:v>17871.238283177106</c:v>
              </c:pt>
              <c:pt idx="14">
                <c:v>23621.114948199312</c:v>
              </c:pt>
              <c:pt idx="16">
                <c:v>48507.646768623585</c:v>
              </c:pt>
            </c:numLit>
          </c:val>
          <c:extLst>
            <c:ext xmlns:c16="http://schemas.microsoft.com/office/drawing/2014/chart" uri="{C3380CC4-5D6E-409C-BE32-E72D297353CC}">
              <c16:uniqueId val="{00000017-2521-41E8-90F2-E387F78B2A4F}"/>
            </c:ext>
          </c:extLst>
        </c:ser>
        <c:ser>
          <c:idx val="23"/>
          <c:order val="23"/>
          <c:tx>
            <c:v>TECH3</c:v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8">
                <c:v>0</c:v>
              </c:pt>
              <c:pt idx="2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8-2521-41E8-90F2-E387F78B2A4F}"/>
            </c:ext>
          </c:extLst>
        </c:ser>
        <c:ser>
          <c:idx val="24"/>
          <c:order val="24"/>
          <c:tx>
            <c:v>TECH4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4">
                <c:v>16370.429064078922</c:v>
              </c:pt>
              <c:pt idx="15">
                <c:v>16022.122062715536</c:v>
              </c:pt>
              <c:pt idx="20">
                <c:v>35298.737669420159</c:v>
              </c:pt>
              <c:pt idx="24">
                <c:v>19308.711203785391</c:v>
              </c:pt>
            </c:numLit>
          </c:val>
          <c:extLst>
            <c:ext xmlns:c16="http://schemas.microsoft.com/office/drawing/2014/chart" uri="{C3380CC4-5D6E-409C-BE32-E72D297353CC}">
              <c16:uniqueId val="{00000019-2521-41E8-90F2-E387F78B2A4F}"/>
            </c:ext>
          </c:extLst>
        </c:ser>
        <c:ser>
          <c:idx val="25"/>
          <c:order val="25"/>
          <c:tx>
            <c:v>TECH5A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5">
                <c:v>0</c:v>
              </c:pt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A-2521-41E8-90F2-E387F78B2A4F}"/>
            </c:ext>
          </c:extLst>
        </c:ser>
        <c:ser>
          <c:idx val="26"/>
          <c:order val="26"/>
          <c:tx>
            <c:v>TECH5E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0</c:v>
              </c:pt>
              <c:pt idx="12">
                <c:v>0</c:v>
              </c:pt>
              <c:pt idx="15">
                <c:v>0</c:v>
              </c:pt>
              <c:pt idx="1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B-2521-41E8-90F2-E387F78B2A4F}"/>
            </c:ext>
          </c:extLst>
        </c:ser>
        <c:ser>
          <c:idx val="27"/>
          <c:order val="27"/>
          <c:tx>
            <c:v>TECH5I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7">
                <c:v>5329.1091750385585</c:v>
              </c:pt>
              <c:pt idx="12">
                <c:v>3644.1702446954855</c:v>
              </c:pt>
              <c:pt idx="15">
                <c:v>7029.8886989870352</c:v>
              </c:pt>
              <c:pt idx="18">
                <c:v>3996.8318812789194</c:v>
              </c:pt>
            </c:numLit>
          </c:val>
          <c:extLst>
            <c:ext xmlns:c16="http://schemas.microsoft.com/office/drawing/2014/chart" uri="{C3380CC4-5D6E-409C-BE32-E72D297353CC}">
              <c16:uniqueId val="{0000001C-2521-41E8-90F2-E387F78B2A4F}"/>
            </c:ext>
          </c:extLst>
        </c:ser>
        <c:ser>
          <c:idx val="28"/>
          <c:order val="28"/>
          <c:tx>
            <c:v>TECH6A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7">
                <c:v>0</c:v>
              </c:pt>
              <c:pt idx="20">
                <c:v>0</c:v>
              </c:pt>
              <c:pt idx="2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D-2521-41E8-90F2-E387F78B2A4F}"/>
            </c:ext>
          </c:extLst>
        </c:ser>
        <c:ser>
          <c:idx val="29"/>
          <c:order val="29"/>
          <c:tx>
            <c:v>TECH6E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E-2521-41E8-90F2-E387F78B2A4F}"/>
            </c:ext>
          </c:extLst>
        </c:ser>
        <c:ser>
          <c:idx val="30"/>
          <c:order val="30"/>
          <c:tx>
            <c:v>TECH6I</c:v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7">
                <c:v>6886.769381266814</c:v>
              </c:pt>
              <c:pt idx="20">
                <c:v>8070.4328686720482</c:v>
              </c:pt>
              <c:pt idx="21">
                <c:v>25042.797750061141</c:v>
              </c:pt>
            </c:numLit>
          </c:val>
          <c:extLst>
            <c:ext xmlns:c16="http://schemas.microsoft.com/office/drawing/2014/chart" uri="{C3380CC4-5D6E-409C-BE32-E72D297353CC}">
              <c16:uniqueId val="{0000001F-2521-41E8-90F2-E387F78B2A4F}"/>
            </c:ext>
          </c:extLst>
        </c:ser>
        <c:ser>
          <c:idx val="31"/>
          <c:order val="31"/>
          <c:tx>
            <c:v>TECH7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6">
                <c:v>0</c:v>
              </c:pt>
              <c:pt idx="7">
                <c:v>0</c:v>
              </c:pt>
              <c:pt idx="14">
                <c:v>0</c:v>
              </c:pt>
              <c:pt idx="15">
                <c:v>0</c:v>
              </c:pt>
              <c:pt idx="17">
                <c:v>0</c:v>
              </c:pt>
              <c:pt idx="18">
                <c:v>0</c:v>
              </c:pt>
              <c:pt idx="20">
                <c:v>0</c:v>
              </c:pt>
              <c:pt idx="21">
                <c:v>0</c:v>
              </c:pt>
              <c:pt idx="23">
                <c:v>0</c:v>
              </c:pt>
              <c:pt idx="2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20-2521-41E8-90F2-E387F78B2A4F}"/>
            </c:ext>
          </c:extLst>
        </c:ser>
        <c:ser>
          <c:idx val="32"/>
          <c:order val="32"/>
          <c:tx>
            <c:v>TECH8</c:v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24">
                <c:v>56000</c:v>
              </c:pt>
            </c:numLit>
          </c:val>
          <c:extLst>
            <c:ext xmlns:c16="http://schemas.microsoft.com/office/drawing/2014/chart" uri="{C3380CC4-5D6E-409C-BE32-E72D297353CC}">
              <c16:uniqueId val="{00000021-2521-41E8-90F2-E387F78B2A4F}"/>
            </c:ext>
          </c:extLst>
        </c:ser>
        <c:ser>
          <c:idx val="33"/>
          <c:order val="33"/>
          <c:tx>
            <c:v>TECH9</c:v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7"/>
              <c:pt idx="0">
                <c:v>CONTR1</c:v>
              </c:pt>
              <c:pt idx="1">
                <c:v>CONTR2</c:v>
              </c:pt>
              <c:pt idx="2">
                <c:v>CONTR3</c:v>
              </c:pt>
              <c:pt idx="3">
                <c:v>CONTR4</c:v>
              </c:pt>
              <c:pt idx="4">
                <c:v>ERR1</c:v>
              </c:pt>
              <c:pt idx="5">
                <c:v>ERR2</c:v>
              </c:pt>
              <c:pt idx="6">
                <c:v>ERR3</c:v>
              </c:pt>
              <c:pt idx="7">
                <c:v>MALV1</c:v>
              </c:pt>
              <c:pt idx="8">
                <c:v>MALV10</c:v>
              </c:pt>
              <c:pt idx="9">
                <c:v>MALV11</c:v>
              </c:pt>
              <c:pt idx="10">
                <c:v>MALV12</c:v>
              </c:pt>
              <c:pt idx="11">
                <c:v>MALV13</c:v>
              </c:pt>
              <c:pt idx="12">
                <c:v>MALV14</c:v>
              </c:pt>
              <c:pt idx="13">
                <c:v>MALV15</c:v>
              </c:pt>
              <c:pt idx="14">
                <c:v>MALV16</c:v>
              </c:pt>
              <c:pt idx="15">
                <c:v>MALV17</c:v>
              </c:pt>
              <c:pt idx="16">
                <c:v>MALV18</c:v>
              </c:pt>
              <c:pt idx="17">
                <c:v>MALV19</c:v>
              </c:pt>
              <c:pt idx="18">
                <c:v>MALV2</c:v>
              </c:pt>
              <c:pt idx="19">
                <c:v>MALV20</c:v>
              </c:pt>
              <c:pt idx="20">
                <c:v>MALV3</c:v>
              </c:pt>
              <c:pt idx="21">
                <c:v>MALV4</c:v>
              </c:pt>
              <c:pt idx="22">
                <c:v>MALV5</c:v>
              </c:pt>
              <c:pt idx="23">
                <c:v>MALV6</c:v>
              </c:pt>
              <c:pt idx="24">
                <c:v>MALV7</c:v>
              </c:pt>
              <c:pt idx="25">
                <c:v>MALV8</c:v>
              </c:pt>
              <c:pt idx="26">
                <c:v>MALV9</c:v>
              </c:pt>
            </c:strLit>
          </c:cat>
          <c:val>
            <c:numLit>
              <c:formatCode>General</c:formatCode>
              <c:ptCount val="27"/>
              <c:pt idx="11">
                <c:v>11639.518490402343</c:v>
              </c:pt>
              <c:pt idx="19">
                <c:v>14549.398113002928</c:v>
              </c:pt>
              <c:pt idx="20">
                <c:v>6365.36167443878</c:v>
              </c:pt>
              <c:pt idx="24">
                <c:v>10445.721722155948</c:v>
              </c:pt>
            </c:numLit>
          </c:val>
          <c:extLst>
            <c:ext xmlns:c16="http://schemas.microsoft.com/office/drawing/2014/chart" uri="{C3380CC4-5D6E-409C-BE32-E72D297353CC}">
              <c16:uniqueId val="{00000022-2521-41E8-90F2-E387F78B2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808514639"/>
        <c:axId val="1501599647"/>
      </c:barChart>
      <c:catAx>
        <c:axId val="18085146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99647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0159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51463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test.xlsx]PivotChartTable1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risques</a:t>
            </a:r>
            <a:r>
              <a:rPr lang="en-US" baseline="0"/>
              <a:t> résiduels par gravité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Fort</c:v>
              </c:pt>
              <c:pt idx="1">
                <c:v>Modéré</c:v>
              </c:pt>
            </c:strLit>
          </c:cat>
          <c:val>
            <c:numLit>
              <c:formatCode>General</c:formatCode>
              <c:ptCount val="2"/>
              <c:pt idx="0">
                <c:v>3</c:v>
              </c:pt>
              <c:pt idx="1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B8F7-4FD1-880F-222ABAB53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370048"/>
        <c:axId val="1501606303"/>
      </c:barChart>
      <c:catAx>
        <c:axId val="983700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06303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0160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7004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[Prototype Outil rationalisation SSI test.xlsx]PivotChartTable7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745181</xdr:colOff>
      <xdr:row>9</xdr:row>
      <xdr:rowOff>174810</xdr:rowOff>
    </xdr:from>
    <xdr:to>
      <xdr:col>14</xdr:col>
      <xdr:colOff>1019857</xdr:colOff>
      <xdr:row>24</xdr:row>
      <xdr:rowOff>88075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37BEE36-B1B7-4CE5-B9CB-71D808AD3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1221432</xdr:colOff>
      <xdr:row>9</xdr:row>
      <xdr:rowOff>168089</xdr:rowOff>
    </xdr:from>
    <xdr:to>
      <xdr:col>15</xdr:col>
      <xdr:colOff>767729</xdr:colOff>
      <xdr:row>24</xdr:row>
      <xdr:rowOff>81354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38C6593-982F-4137-918A-B099F2B46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497544</xdr:colOff>
      <xdr:row>3</xdr:row>
      <xdr:rowOff>33619</xdr:rowOff>
    </xdr:from>
    <xdr:to>
      <xdr:col>11</xdr:col>
      <xdr:colOff>162489</xdr:colOff>
      <xdr:row>8</xdr:row>
      <xdr:rowOff>16854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iveau Retenu">
              <a:extLst>
                <a:ext uri="{FF2B5EF4-FFF2-40B4-BE49-F238E27FC236}">
                  <a16:creationId xmlns:a16="http://schemas.microsoft.com/office/drawing/2014/main" id="{BD59A84A-81C9-47D5-8EF1-0A11BADCCA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au Reten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4779" y="705972"/>
              <a:ext cx="1188944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735664</xdr:colOff>
      <xdr:row>3</xdr:row>
      <xdr:rowOff>38663</xdr:rowOff>
    </xdr:from>
    <xdr:to>
      <xdr:col>7</xdr:col>
      <xdr:colOff>422088</xdr:colOff>
      <xdr:row>8</xdr:row>
      <xdr:rowOff>21898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Libellé scénario">
              <a:extLst>
                <a:ext uri="{FF2B5EF4-FFF2-40B4-BE49-F238E27FC236}">
                  <a16:creationId xmlns:a16="http://schemas.microsoft.com/office/drawing/2014/main" id="{6EE6FA86-EE3E-4652-B504-808B32C63A5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bellé scéna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5664" y="711016"/>
              <a:ext cx="711966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12</xdr:col>
      <xdr:colOff>89646</xdr:colOff>
      <xdr:row>26</xdr:row>
      <xdr:rowOff>40339</xdr:rowOff>
    </xdr:from>
    <xdr:to>
      <xdr:col>14</xdr:col>
      <xdr:colOff>4717676</xdr:colOff>
      <xdr:row>57</xdr:row>
      <xdr:rowOff>134469</xdr:rowOff>
    </xdr:to>
    <xdr:graphicFrame macro="">
      <xdr:nvGraphicFramePr>
        <xdr:cNvPr id="11" name="Graphique 10">
          <a:extLst>
            <a:ext uri="{FF2B5EF4-FFF2-40B4-BE49-F238E27FC236}">
              <a16:creationId xmlns:a16="http://schemas.microsoft.com/office/drawing/2014/main" id="{EB42C4CB-2EF0-446E-ACAE-F78D573E3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353631</xdr:colOff>
      <xdr:row>3</xdr:row>
      <xdr:rowOff>157494</xdr:rowOff>
    </xdr:from>
    <xdr:to>
      <xdr:col>8</xdr:col>
      <xdr:colOff>249016</xdr:colOff>
      <xdr:row>9</xdr:row>
      <xdr:rowOff>35718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ure applicable">
              <a:extLst>
                <a:ext uri="{FF2B5EF4-FFF2-40B4-BE49-F238E27FC236}">
                  <a16:creationId xmlns:a16="http://schemas.microsoft.com/office/drawing/2014/main" id="{9D4CAC14-12BC-437F-A8E5-510E17521E9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ure applicab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54631" y="834827"/>
              <a:ext cx="1522573" cy="8090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345017</xdr:colOff>
      <xdr:row>10</xdr:row>
      <xdr:rowOff>13758</xdr:rowOff>
    </xdr:from>
    <xdr:to>
      <xdr:col>8</xdr:col>
      <xdr:colOff>256645</xdr:colOff>
      <xdr:row>41</xdr:row>
      <xdr:rowOff>11904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#MS">
              <a:extLst>
                <a:ext uri="{FF2B5EF4-FFF2-40B4-BE49-F238E27FC236}">
                  <a16:creationId xmlns:a16="http://schemas.microsoft.com/office/drawing/2014/main" id="{E5D81CD2-A179-482F-8D76-6B9A4DFFA8C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#M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46017" y="1802342"/>
              <a:ext cx="1538816" cy="47275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9</xdr:col>
      <xdr:colOff>243417</xdr:colOff>
      <xdr:row>3</xdr:row>
      <xdr:rowOff>125941</xdr:rowOff>
    </xdr:from>
    <xdr:to>
      <xdr:col>16</xdr:col>
      <xdr:colOff>1119189</xdr:colOff>
      <xdr:row>38</xdr:row>
      <xdr:rowOff>148167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8A1CDA2F-5FB1-4747-A379-A60C52E1B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77389</xdr:colOff>
      <xdr:row>121</xdr:row>
      <xdr:rowOff>140493</xdr:rowOff>
    </xdr:from>
    <xdr:to>
      <xdr:col>29</xdr:col>
      <xdr:colOff>571500</xdr:colOff>
      <xdr:row>160</xdr:row>
      <xdr:rowOff>130967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F378C029-837E-4824-8AC4-942ECA44D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500062</xdr:colOff>
      <xdr:row>22</xdr:row>
      <xdr:rowOff>56849</xdr:rowOff>
    </xdr:from>
    <xdr:to>
      <xdr:col>21</xdr:col>
      <xdr:colOff>268428</xdr:colOff>
      <xdr:row>40</xdr:row>
      <xdr:rowOff>95250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D46600A-B509-4F98-9603-4B34CE12F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352425</xdr:colOff>
      <xdr:row>12</xdr:row>
      <xdr:rowOff>80962</xdr:rowOff>
    </xdr:from>
    <xdr:to>
      <xdr:col>16</xdr:col>
      <xdr:colOff>523874</xdr:colOff>
      <xdr:row>15</xdr:row>
      <xdr:rowOff>214312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Niveau risque rés">
              <a:extLst>
                <a:ext uri="{FF2B5EF4-FFF2-40B4-BE49-F238E27FC236}">
                  <a16:creationId xmlns:a16="http://schemas.microsoft.com/office/drawing/2014/main" id="{C9B72731-098F-49F0-986B-7DA95A0DDD1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au risque ré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33206" y="2664618"/>
              <a:ext cx="2028824" cy="1145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547685</xdr:colOff>
      <xdr:row>12</xdr:row>
      <xdr:rowOff>73817</xdr:rowOff>
    </xdr:from>
    <xdr:to>
      <xdr:col>13</xdr:col>
      <xdr:colOff>190497</xdr:colOff>
      <xdr:row>15</xdr:row>
      <xdr:rowOff>238123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Lib Tx Couv">
              <a:extLst>
                <a:ext uri="{FF2B5EF4-FFF2-40B4-BE49-F238E27FC236}">
                  <a16:creationId xmlns:a16="http://schemas.microsoft.com/office/drawing/2014/main" id="{859C25DA-0286-4686-A9C5-35C65CB2722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b Tx Cou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11435" y="2657474"/>
              <a:ext cx="2047875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1203703" backgroundQuery="1" createdVersion="6" refreshedVersion="6" minRefreshableVersion="3" recordCount="0" supportSubquery="1" supportAdvancedDrill="1" xr:uid="{3E1BD981-2F95-4852-8008-30D8B9E82C22}">
  <cacheSource type="external" connectionId="1"/>
  <cacheFields count="4">
    <cacheField name="[Tableau_REF_Mesures].[#MS].[#MS]" caption="#MS" numFmtId="0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Mesures].[Nom mesure].[Nom mesure]" caption="Nom mesure" numFmtId="0" hierarchy="1" level="1">
      <sharedItems count="35">
        <s v="Service de supervision de sécurité (SOC)"/>
        <s v="Service de gestion des solutions de sécurité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Mesures].[Applicabilité].[Applicabilité]" caption="Applicabilité" numFmtId="0" hierarchy="2" level="1">
      <sharedItems count="2">
        <s v="OUI"/>
        <s v="NON"/>
      </sharedItems>
    </cacheField>
    <cacheField name="[Measures].[Somme de TCO euros]" caption="Somme de TCO euros" numFmtId="0" hierarchy="55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>
      <fieldsUsage count="2">
        <fieldUsage x="-1"/>
        <fieldUsage x="0"/>
      </fieldsUsage>
    </cacheHierarchy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2" memberValueDatatype="130" unbalanced="0">
      <fieldsUsage count="2">
        <fieldUsage x="-1"/>
        <fieldUsage x="1"/>
      </fieldsUsage>
    </cacheHierarchy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>
      <fieldsUsage count="2">
        <fieldUsage x="-1"/>
        <fieldUsage x="2"/>
      </fieldsUsage>
    </cacheHierarchy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d" refreshedDate="44109.503995254629" createdVersion="6" refreshedVersion="6" minRefreshableVersion="3" recordCount="10" xr:uid="{7AB03D53-56F7-445A-8EB8-4994F13B33F5}">
  <cacheSource type="worksheet">
    <worksheetSource name="Tableau_REC_Mesures"/>
  </cacheSource>
  <cacheFields count="6">
    <cacheField name="#MS" numFmtId="0">
      <sharedItems count="10">
        <s v="TECH4"/>
        <s v="TECH5E"/>
        <s v="TECH5I"/>
        <s v="TECH5A"/>
        <s v="TECH6E"/>
        <s v="TECH6I"/>
        <s v="TECH6A"/>
        <s v="TECH7"/>
        <s v="TECH12E"/>
        <s v="TECH12A"/>
      </sharedItems>
    </cacheField>
    <cacheField name="Rec_Th_TECH1I" numFmtId="9">
      <sharedItems containsSemiMixedTypes="0" containsString="0" containsNumber="1" minValue="0" maxValue="1"/>
    </cacheField>
    <cacheField name="Rec_Th_TECH1A" numFmtId="9">
      <sharedItems containsSemiMixedTypes="0" containsString="0" containsNumber="1" minValue="0.3" maxValue="1"/>
    </cacheField>
    <cacheField name="Rec_Ef_TECH1I" numFmtId="9">
      <sharedItems containsSemiMixedTypes="0" containsString="0" containsNumber="1" containsInteger="1" minValue="0" maxValue="0"/>
    </cacheField>
    <cacheField name="Rec_Ef_TECH1A" numFmtId="9">
      <sharedItems containsSemiMixedTypes="0" containsString="0" containsNumber="1" minValue="0.3" maxValue="1"/>
    </cacheField>
    <cacheField name="Ref_Ef" numFmtId="0">
      <sharedItems containsSemiMixedTypes="0" containsString="0" containsNumber="1" minValue="0.3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7708337" backgroundQuery="1" createdVersion="6" refreshedVersion="6" minRefreshableVersion="3" recordCount="0" supportSubquery="1" supportAdvancedDrill="1" xr:uid="{D1E8C1DE-44B8-4D83-96E4-088DE20606CA}">
  <cacheSource type="external" connectionId="1"/>
  <cacheFields count="8">
    <cacheField name="[Tableau_REF_Risques].[#SM].[#SM]" caption="#SM" numFmtId="0" hierarchy="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Tableau_REF_Risques].[Intitulé SM].[Intitulé SM]" caption="Intitulé SM" numFmtId="0" hierarchy="9" level="1">
      <sharedItems count="27">
        <s v="Incapacité à gérer un terminal et à mettre en oeuvre une politique de sécurité"/>
        <s v="Environnement réseau complexe impliquant des risques d'erreur importants sur les règles de cloisonnement et de filtrage réseau"/>
        <s v="Déploiement en production de codes applicatifs vulnérables"/>
        <s v="Incapacité à détecter un incident de sécurité et à fournir une piste d'audit post-mortem"/>
        <s v="Erreur humaine entrainant une indisponibilité des services"/>
        <s v="Erreur humaine entrainant une altération des services et/ou données"/>
        <s v="Erreur humaine entrainant une fuite de données"/>
        <s v="Compromission d'un poste via l'accès à un site web infecté"/>
        <s v="Accès au réseau filaire par une personne non autorisée (absence ou contournement des mécanismes de sécurité)"/>
        <s v="Exécution de scripts malveillants dans les interpréteurs de commande (Shell)"/>
        <s v="Détournement des fonctions d'un OS pour exécuter un code malveillant (Services, Registre, Bootloader...)"/>
        <s v="Modification illégitime des comptes et droits d'accès permettant de maintenir un accès au SI"/>
        <s v="Installation de composants illégitimes au sein du navigateur Web"/>
        <s v="Contournement des mécanismes de contrôle afin d'effectuer une élévation de privilèges"/>
        <s v="Mouvement latéral en vue d'atteindre l'objectif"/>
        <s v="Ouverture d'un canal de commande et d'exfiltration sur le réseau"/>
        <s v="Chiffrement et/ou suppression de données par malveillance"/>
        <s v="Indisponibilité des ressources suite à une attaque par DDoS"/>
        <s v="Compromission d'un poste par Phishing de l'utilisateur (Pièce jointe ou URL piégée)"/>
        <s v="Abus de droits en vue d'effectuer une action malveillante"/>
        <s v="Compromission d'un service d'accès réseau à distance (ex VPN, VDI…)"/>
        <s v="Compromission d'une application ou d'une API exposée sur Internet"/>
        <s v="Compromission d'un poste via une clé USB infectée"/>
        <s v="Compromission du réseau via une interconnexion partenaire (VPN)"/>
        <s v="Compromission du réseau via l'utilisation d'identifiants volés"/>
        <s v="Compromission du réseau via l'installation d'une application infectée"/>
        <s v="Accès au réseau Wi-Fi par une personne non autorisée (absence ou contournement des mécanismes de sécurité)"/>
      </sharedItems>
    </cacheField>
    <cacheField name="[Measures].[Maximum de Cout couv]" caption="Maximum de Cout couv" numFmtId="0" hierarchy="70" level="32767"/>
    <cacheField name="[Measures].[Somme de Gravité]" caption="Somme de Gravité" numFmtId="0" hierarchy="72" level="32767"/>
    <cacheField name="[Measures].[Somme de Tx couv]" caption="Somme de Tx couv" numFmtId="0" hierarchy="76" level="32767"/>
    <cacheField name="[Tableau_REF_Risques].[Lib RR].[Lib RR]" caption="Lib RR" numFmtId="0" hierarchy="25" level="1">
      <sharedItems count="2">
        <s v="Modéré"/>
        <s v="Fort"/>
      </sharedItems>
    </cacheField>
    <cacheField name="[Tableau_REF_Risques].[Lib RI].[Lib RI]" caption="Lib RI" numFmtId="0" hierarchy="19" level="1">
      <sharedItems count="2">
        <s v="Fort"/>
        <s v="Critique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2" memberValueDatatype="130" unbalanced="0">
      <fieldsUsage count="2">
        <fieldUsage x="-1"/>
        <fieldUsage x="0"/>
      </fieldsUsage>
    </cacheHierarchy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2" memberValueDatatype="130" unbalanced="0">
      <fieldsUsage count="2">
        <fieldUsage x="-1"/>
        <fieldUsage x="1"/>
      </fieldsUsage>
    </cacheHierarchy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2" memberValueDatatype="130" unbalanced="0">
      <fieldsUsage count="2">
        <fieldUsage x="-1"/>
        <fieldUsage x="6"/>
      </fieldsUsage>
    </cacheHierarchy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7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>
      <fieldsUsage count="2">
        <fieldUsage x="-1"/>
        <fieldUsage x="5"/>
      </fieldsUsage>
    </cacheHierarchy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8749999" backgroundQuery="1" createdVersion="6" refreshedVersion="6" minRefreshableVersion="3" recordCount="0" supportSubquery="1" supportAdvancedDrill="1" xr:uid="{C3B3E6F1-7F64-4821-A134-A8B795698ECC}">
  <cacheSource type="external" connectionId="1"/>
  <cacheFields count="5"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verture effective]" caption="Somme de Couverture effective" numFmtId="0" hierarchy="56" level="32767"/>
    <cacheField name="[Tableau_REF_SMMS].[Libellé mesure].[Libellé mesure]" caption="Libellé mesure" numFmtId="0" hierarchy="33" level="1">
      <sharedItems count="35">
        <s v="Service de supervision de sécurité (SOC)"/>
        <s v="Service de gestion des solutions de sécurité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SMMS].[#MS].[#MS]" caption="#MS" numFmtId="0" hierarchy="32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4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3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2" memberValueDatatype="130" unbalanced="0">
      <fieldsUsage count="2">
        <fieldUsage x="-1"/>
        <fieldUsage x="2"/>
      </fieldsUsage>
    </cacheHierarchy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9212961" backgroundQuery="1" createdVersion="6" refreshedVersion="6" minRefreshableVersion="3" recordCount="0" supportSubquery="1" supportAdvancedDrill="1" xr:uid="{92066E67-6A5A-48CB-A015-A40E558519AA}">
  <cacheSource type="external" connectionId="1"/>
  <cacheFields count="5">
    <cacheField name="[Tableau_REF_SMMS].[#MS].[#MS]" caption="#MS" numFmtId="0" hierarchy="32" level="1">
      <sharedItems count="34">
        <s v="SERV1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t couverture 2]" caption="Somme de Cout couverture 2" numFmtId="0" hierarchy="61" level="32767"/>
    <cacheField name="[Tableau_REF_SMMS].[Libellé mesure].[Libellé mesure]" caption="Libellé mesure" numFmtId="0" hierarchy="33" level="1">
      <sharedItems count="34">
        <s v="Service de supervision de sécurité (SOC)"/>
        <s v="Service de Veille et de réponse à incidents (CERT/CSIRT)"/>
        <s v="Service d'audit SSI"/>
        <s v="Service de gestion de la gouvernance et des risques"/>
        <s v="Service de gestion de la continuité"/>
        <s v="Solution de détection et de gestion des vulnérabilités"/>
        <s v="Solution d'analyse de code applicatif (AST)"/>
        <s v="Solution de protection des mails (avancé)"/>
        <s v="Solution de protection des mails (élémentaire)"/>
        <s v="Solution de gestion des terminaux (MDM)"/>
        <s v="Solution de protection des terminaux (EDR)"/>
        <s v="Solution de protection des terminaux (Antimalware basique)"/>
        <s v="Solution de gestion des comptes à privilèges (PAM)"/>
        <s v="Solution de protection Cloud (CASB/CSPM)"/>
        <s v="Solution de prévention des fuites de données (DLP)"/>
        <s v="Solution de collecte et de traitement des événements (SIEM)"/>
        <s v="Solution de contrôle de configuration technique (ex Puppet,Ansible)"/>
        <s v="Solution de pare-feu (avancé)"/>
        <s v="Solution de pare-feu (élémentaire)"/>
        <s v="Solution de pare-feu (intermédiaire)"/>
        <s v="Outillage d'optimisation et d'orchestration Firewall (ex: Tufin)"/>
        <s v="Solution de sensibilisation et de formation"/>
        <s v="Solution de gestion des sauvegardes"/>
        <s v="Solution de contrôle d'accès réseau (NAC)"/>
        <s v="Solution d'accès distants (VPN utilisateurs Nomades)"/>
        <s v="Solution Proxy / Web Gateway (avancé)"/>
        <s v="Solution Proxy / Web Gateway (élémentaire)"/>
        <s v="Solution Proxy / Web Gateway (intermédiaire)"/>
        <s v="Solution Reverse Proxy / Loadbalancer avancée"/>
        <s v="Solution Reverse Proxy / Loadbalancer élémentaire"/>
        <s v="Solution Reverse Proxy / Loadbalancer intermédiaire"/>
        <s v="Sondes spécialisées IDPS (Détection &amp; Prévention d'intrusion)"/>
        <s v="Solution de cybersurveillance"/>
        <s v="Solution de gestion des identités et de contrôle d'accès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4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1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2" memberValueDatatype="130" unbalanced="0">
      <fieldsUsage count="2">
        <fieldUsage x="-1"/>
        <fieldUsage x="3"/>
      </fieldsUsage>
    </cacheHierarchy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pauld" refreshedDate="44117.417173379632" backgroundQuery="1" createdVersion="6" refreshedVersion="6" minRefreshableVersion="3" recordCount="0" supportSubquery="1" supportAdvancedDrill="1" xr:uid="{022A5078-4388-466A-B60E-59EA47C610CB}">
  <cacheSource type="external" connectionId="1"/>
  <cacheFields count="5">
    <cacheField name="[Tableau_REF_SMSR].[Source de risque].[Source de risque]" caption="Source de risque" numFmtId="0" hierarchy="40" level="1">
      <sharedItems count="7">
        <s v="Admin IT"/>
        <s v="Admin métier"/>
        <s v="Concurrent"/>
        <s v="Crime Organisé"/>
        <s v="Employé"/>
        <s v="Hacktiviste"/>
        <s v="N/A"/>
      </sharedItems>
    </cacheField>
    <cacheField name="[Tableau_REF_SMSR].[Libellé scénario].[Libellé scénario]" caption="Libellé scénario" numFmtId="0" hierarchy="39" level="1">
      <sharedItems count="27">
        <s v="Incapacité à gérer un terminal et à mettre en oeuvre une politique de sécurité"/>
        <s v="Environnement réseau complexe impliquant des risques d'erreur importants sur les règles de cloisonnement et de filtrage réseau"/>
        <s v="Déploiement en production de codes applicatifs vulnérables"/>
        <s v="Incapacité à détecter un incident de sécurité et à fournir une piste d'audit post-mortem"/>
        <s v="Erreur humaine entrainant une indisponibilité des services"/>
        <s v="Erreur humaine entrainant une altération des services et/ou données"/>
        <s v="Erreur humaine entrainant une fuite de données"/>
        <s v="Compromission d'un poste via l'accès à un site web infecté"/>
        <s v="Accès au réseau filaire par une personne non autorisée (absence ou contournement des mécanismes de sécurité)"/>
        <s v="Exécution de scripts malveillants dans les interpréteurs de commande (Shell)"/>
        <s v="Détournement des fonctions d'un OS pour exécuter un code malveillant (Services, Registre, Bootloader...)"/>
        <s v="Modification illégitime des comptes et droits d'accès permettant de maintenir un accès au SI"/>
        <s v="Installation de composants illégitimes au sein du navigateur Web"/>
        <s v="Contournement des mécanismes de contrôle afin d'effectuer une élévation de privilèges"/>
        <s v="Mouvement latéral en vue d'atteindre l'objectif"/>
        <s v="Ouverture d'un canal de commande et d'exfiltration sur le réseau"/>
        <s v="Chiffrement et/ou suppression de données par malveillance"/>
        <s v="Indisponibilité des ressources suite à une attaque par DDoS"/>
        <s v="Compromission d'un poste par Phishing de l'utilisateur (Pièce jointe ou URL piégée)"/>
        <s v="Abus de droits en vue d'effectuer une action malveillante"/>
        <s v="Compromission d'un service d'accès réseau à distance (ex VPN, VDI…)"/>
        <s v="Compromission d'une application ou d'une API exposée sur Internet"/>
        <s v="Compromission d'un poste via une clé USB infectée"/>
        <s v="Compromission du réseau via une interconnexion partenaire (VPN)"/>
        <s v="Compromission du réseau via l'utilisation d'identifiants volés"/>
        <s v="Compromission du réseau via l'installation d'une application infectée"/>
        <s v="Accès au réseau Wi-Fi par une personne non autorisée (absence ou contournement des mécanismes de sécurité)"/>
      </sharedItems>
    </cacheField>
    <cacheField name="[Tableau_REF_SMSR].[Vrais Retenue].[Vrais Retenue]" caption="Vrais Retenue" numFmtId="0" hierarchy="42" level="1">
      <sharedItems containsSemiMixedTypes="0" containsNonDate="0" containsString="0"/>
    </cacheField>
    <cacheField name="[Tableau_REF_SMSR].[#SM].[#SM]" caption="#SM" numFmtId="0" hierarchy="3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Maximum de Vrais Retenue]" caption="Maximum de Vrais Retenue" numFmtId="0" hierarchy="65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2" memberValueDatatype="130" unbalanced="0">
      <fieldsUsage count="2">
        <fieldUsage x="-1"/>
        <fieldUsage x="3"/>
      </fieldsUsage>
    </cacheHierarchy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>
      <fieldsUsage count="2">
        <fieldUsage x="-1"/>
        <fieldUsage x="1"/>
      </fieldsUsage>
    </cacheHierarchy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2" memberValueDatatype="130" unbalanced="0">
      <fieldsUsage count="2">
        <fieldUsage x="-1"/>
        <fieldUsage x="0"/>
      </fieldsUsage>
    </cacheHierarchy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2" memberValueDatatype="20" unbalanced="0">
      <fieldsUsage count="2">
        <fieldUsage x="-1"/>
        <fieldUsage x="2"/>
      </fieldsUsage>
    </cacheHierarchy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81018519" backgroundQuery="1" createdVersion="3" refreshedVersion="6" minRefreshableVersion="3" recordCount="0" supportSubquery="1" supportAdvancedDrill="1" xr:uid="{7FCEDBC9-CC40-4E10-AA14-A4EE3D1F761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19063630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0509256" backgroundQuery="1" createdVersion="3" refreshedVersion="6" minRefreshableVersion="3" recordCount="0" supportSubquery="1" supportAdvancedDrill="1" xr:uid="{6A40278A-6298-4202-9F0E-89952ABAC22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600718854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17.417171527777" backgroundQuery="1" createdVersion="3" refreshedVersion="6" minRefreshableVersion="3" recordCount="0" supportSubquery="1" supportAdvancedDrill="1" xr:uid="{D4714443-D368-4A63-B8C2-33A490441DA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2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14297861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67245371" backgroundQuery="1" createdVersion="6" refreshedVersion="6" minRefreshableVersion="3" recordCount="0" supportSubquery="1" supportAdvancedDrill="1" xr:uid="{0E149BB1-2531-484C-B4E5-7CF2D9F8C2C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Tableau_REF_SR].[Pertinence].[Pertinence]" caption="Pertinence" numFmtId="0" hierarchy="45" level="1">
      <sharedItems count="2">
        <s v="Faible"/>
        <s v="Forte"/>
      </sharedItems>
    </cacheField>
    <cacheField name="[Measures].[Nombre de Source de risque]" caption="Nombre de Source de risque" numFmtId="0" hierarchy="54" level="32767"/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2" memberValueDatatype="130" unbalanced="0">
      <fieldsUsage count="2">
        <fieldUsage x="-1"/>
        <fieldUsage x="0"/>
      </fieldsUsage>
    </cacheHierarchy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75973377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68287034" backgroundQuery="1" createdVersion="6" refreshedVersion="6" minRefreshableVersion="3" recordCount="0" supportSubquery="1" supportAdvancedDrill="1" xr:uid="{508DD698-CDED-45CB-AC5B-82D77E5E07B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Nombre de Source de risque]" caption="Nombre de Source de risque" numFmtId="0" hierarchy="54" level="32767"/>
    <cacheField name="[Tableau_REF_SR].[Type].[Type]" caption="Type" numFmtId="0" hierarchy="44" level="1">
      <sharedItems count="2">
        <s v="Erreur humaine"/>
        <s v="Malveillance"/>
      </sharedItems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2" memberValueDatatype="130" unbalanced="0">
      <fieldsUsage count="2">
        <fieldUsage x="-1"/>
        <fieldUsage x="1"/>
      </fieldsUsage>
    </cacheHierarchy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7180306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2592596" backgroundQuery="1" createdVersion="6" refreshedVersion="6" minRefreshableVersion="3" recordCount="0" supportSubquery="1" supportAdvancedDrill="1" xr:uid="{98BD9608-65CF-47AC-931E-D3087CC7601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Mesures].[#MS].[#MS]" caption="#MS" numFmtId="0" level="1">
      <sharedItems count="35">
        <s v="SERV1"/>
        <s v="SERV2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</sharedItems>
    </cacheField>
    <cacheField name="[Measures].[Somme de TCO euros]" caption="Somme de TCO euros" numFmtId="0" hierarchy="55" level="32767"/>
    <cacheField name="[Tableau_REF_Mesures].[Applicabilité].[Applicabilité]" caption="Applicabilité" numFmtId="0" hierarchy="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2" memberValueDatatype="130" unbalanced="0">
      <fieldsUsage count="2">
        <fieldUsage x="-1"/>
        <fieldUsage x="0"/>
      </fieldsUsage>
    </cacheHierarchy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2" memberValueDatatype="130" unbalanced="0">
      <fieldsUsage count="2">
        <fieldUsage x="-1"/>
        <fieldUsage x="2"/>
      </fieldsUsage>
    </cacheHierarchy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7193694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3995023151" backgroundQuery="1" createdVersion="6" refreshedVersion="6" minRefreshableVersion="3" recordCount="0" supportSubquery="1" supportAdvancedDrill="1" xr:uid="{3D6D3D71-A7DB-461C-9CE1-03A671885D5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SMMS].[#SM].[#SM]" caption="#SM" numFmtId="0" hierarchy="29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Somme de Cout couverture 2]" caption="Somme de Cout couverture 2" numFmtId="0" hierarchy="61" level="32767"/>
    <cacheField name="[Tableau_REF_SMMS].[#MS].[#MS]" caption="#MS" numFmtId="0" hierarchy="32" level="1">
      <sharedItems count="35">
        <s v="SERV1"/>
        <s v="SERV3"/>
        <s v="SERV4"/>
        <s v="SERV5"/>
        <s v="SERV6"/>
        <s v="TECH10"/>
        <s v="TECH11"/>
        <s v="TECH12A"/>
        <s v="TECH12E"/>
        <s v="TECH13"/>
        <s v="TECH14A"/>
        <s v="TECH14E"/>
        <s v="TECH15"/>
        <s v="TECH16"/>
        <s v="TECH17"/>
        <s v="TECH18"/>
        <s v="TECH19"/>
        <s v="TECH1A"/>
        <s v="TECH1E"/>
        <s v="TECH1I"/>
        <s v="TECH2"/>
        <s v="TECH20"/>
        <s v="TECH21"/>
        <s v="TECH3"/>
        <s v="TECH4"/>
        <s v="TECH5A"/>
        <s v="TECH5E"/>
        <s v="TECH5I"/>
        <s v="TECH6A"/>
        <s v="TECH6E"/>
        <s v="TECH6I"/>
        <s v="TECH7"/>
        <s v="TECH8"/>
        <s v="TECH9"/>
        <s v="SERV2" u="1"/>
      </sharedItems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2" memberValueDatatype="130" unbalanced="0">
      <fieldsUsage count="2">
        <fieldUsage x="-1"/>
        <fieldUsage x="0"/>
      </fieldsUsage>
    </cacheHierarchy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2" memberValueDatatype="130" unbalanced="0">
      <fieldsUsage count="2">
        <fieldUsage x="-1"/>
        <fieldUsage x="2"/>
      </fieldsUsage>
    </cacheHierarchy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64588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uld" refreshedDate="44109.505419675923" backgroundQuery="1" createdVersion="6" refreshedVersion="6" minRefreshableVersion="3" recordCount="0" supportSubquery="1" supportAdvancedDrill="1" xr:uid="{21D50169-D6F9-44B6-8367-F86B5AFFBB6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Nombre de #SM]" caption="Nombre de #SM" numFmtId="0" hierarchy="80" level="32767"/>
    <cacheField name="[Tableau_REF_Risques].[Lib RR].[Lib RR]" caption="Lib RR" numFmtId="0" hierarchy="25" level="1">
      <sharedItems count="2">
        <s v="Fort"/>
        <s v="Modéré"/>
      </sharedItems>
    </cacheField>
    <cacheField name="[Tableau_REF_Risques].[Lib Tx Couv].[Lib Tx Couv]" caption="Lib Tx Couv" numFmtId="0" hierarchy="22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2" memberValueDatatype="130" unbalanced="0">
      <fieldsUsage count="2">
        <fieldUsage x="-1"/>
        <fieldUsage x="2"/>
      </fieldsUsage>
    </cacheHierarchy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2" memberValueDatatype="130" unbalanced="0">
      <fieldsUsage count="2">
        <fieldUsage x="-1"/>
        <fieldUsage x="1"/>
      </fieldsUsage>
    </cacheHierarchy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0" memberValueDatatype="130" unbalanced="0"/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0" memberValueDatatype="130" unbalanced="0"/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139850216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pauld" refreshedDate="44117.417172337962" backgroundQuery="1" createdVersion="6" refreshedVersion="6" minRefreshableVersion="3" recordCount="0" supportSubquery="1" supportAdvancedDrill="1" xr:uid="{E8EDD6C2-0168-4C0F-B2BF-704A722CF43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leau_REF_SMSR].[#SM].[#SM]" caption="#SM" numFmtId="0" hierarchy="38" level="1">
      <sharedItems count="27">
        <s v="CONTR1"/>
        <s v="CONTR2"/>
        <s v="CONTR3"/>
        <s v="CONTR4"/>
        <s v="ERR1"/>
        <s v="ERR2"/>
        <s v="ERR3"/>
        <s v="MALV1"/>
        <s v="MALV10"/>
        <s v="MALV11"/>
        <s v="MALV12"/>
        <s v="MALV13"/>
        <s v="MALV14"/>
        <s v="MALV15"/>
        <s v="MALV16"/>
        <s v="MALV17"/>
        <s v="MALV18"/>
        <s v="MALV19"/>
        <s v="MALV2"/>
        <s v="MALV20"/>
        <s v="MALV3"/>
        <s v="MALV4"/>
        <s v="MALV5"/>
        <s v="MALV6"/>
        <s v="MALV7"/>
        <s v="MALV8"/>
        <s v="MALV9"/>
      </sharedItems>
    </cacheField>
    <cacheField name="[Measures].[Maximum de Vrais Retenue]" caption="Maximum de Vrais Retenue" numFmtId="0" hierarchy="65" level="32767"/>
    <cacheField name="[Tableau_REF_SMSR].[Libellé scénario].[Libellé scénario]" caption="Libellé scénario" numFmtId="0" hierarchy="39" level="1">
      <sharedItems containsSemiMixedTypes="0" containsNonDate="0" containsString="0"/>
    </cacheField>
  </cacheFields>
  <cacheHierarchies count="81">
    <cacheHierarchy uniqueName="[Tableau_REF_Mesures].[#MS]" caption="#MS" attribute="1" defaultMemberUniqueName="[Tableau_REF_Mesures].[#MS].[All]" allUniqueName="[Tableau_REF_Mesures].[#MS].[All]" dimensionUniqueName="[Tableau_REF_Mesures]" displayFolder="" count="0" memberValueDatatype="130" unbalanced="0"/>
    <cacheHierarchy uniqueName="[Tableau_REF_Mesures].[Nom mesure]" caption="Nom mesure" attribute="1" defaultMemberUniqueName="[Tableau_REF_Mesures].[Nom mesure].[All]" allUniqueName="[Tableau_REF_Mesures].[Nom mesure].[All]" dimensionUniqueName="[Tableau_REF_Mesures]" displayFolder="" count="0" memberValueDatatype="130" unbalanced="0"/>
    <cacheHierarchy uniqueName="[Tableau_REF_Mesures].[Applicabilité]" caption="Applicabilité" attribute="1" defaultMemberUniqueName="[Tableau_REF_Mesures].[Applicabilité].[All]" allUniqueName="[Tableau_REF_Mesures].[Applicabilité].[All]" dimensionUniqueName="[Tableau_REF_Mesures]" displayFolder="" count="0" memberValueDatatype="130" unbalanced="0"/>
    <cacheHierarchy uniqueName="[Tableau_REF_Mesures].[Cas d'utilisation théoriques]" caption="Cas d'utilisation théoriques" attribute="1" defaultMemberUniqueName="[Tableau_REF_Mesures].[Cas d'utilisation théoriques].[All]" allUniqueName="[Tableau_REF_Mesures].[Cas d'utilisation théoriques].[All]" dimensionUniqueName="[Tableau_REF_Mesures]" displayFolder="" count="0" memberValueDatatype="20" unbalanced="0"/>
    <cacheHierarchy uniqueName="[Tableau_REF_Mesures].[Cas d'utilisation effectifs]" caption="Cas d'utilisation effectifs" attribute="1" defaultMemberUniqueName="[Tableau_REF_Mesures].[Cas d'utilisation effectifs].[All]" allUniqueName="[Tableau_REF_Mesures].[Cas d'utilisation effectifs].[All]" dimensionUniqueName="[Tableau_REF_Mesures]" displayFolder="" count="0" memberValueDatatype="20" unbalanced="0"/>
    <cacheHierarchy uniqueName="[Tableau_REF_Mesures].[Pct Utilisation]" caption="Pct Utilisation" attribute="1" defaultMemberUniqueName="[Tableau_REF_Mesures].[Pct Utilisation].[All]" allUniqueName="[Tableau_REF_Mesures].[Pct Utilisation].[All]" dimensionUniqueName="[Tableau_REF_Mesures]" displayFolder="" count="0" memberValueDatatype="5" unbalanced="0"/>
    <cacheHierarchy uniqueName="[Tableau_REF_Mesures].[TCO ke]" caption="TCO ke" attribute="1" defaultMemberUniqueName="[Tableau_REF_Mesures].[TCO ke].[All]" allUniqueName="[Tableau_REF_Mesures].[TCO ke].[All]" dimensionUniqueName="[Tableau_REF_Mesures]" displayFolder="" count="0" memberValueDatatype="20" unbalanced="0"/>
    <cacheHierarchy uniqueName="[Tableau_REF_Mesures].[TCO euros]" caption="TCO euros" attribute="1" defaultMemberUniqueName="[Tableau_REF_Mesures].[TCO euros].[All]" allUniqueName="[Tableau_REF_Mesures].[TCO euros].[All]" dimensionUniqueName="[Tableau_REF_Mesures]" displayFolder="" count="0" memberValueDatatype="20" unbalanced="0"/>
    <cacheHierarchy uniqueName="[Tableau_REF_Risques].[#SM]" caption="#SM" attribute="1" defaultMemberUniqueName="[Tableau_REF_Risques].[#SM].[All]" allUniqueName="[Tableau_REF_Risques].[#SM].[All]" dimensionUniqueName="[Tableau_REF_Risques]" displayFolder="" count="0" memberValueDatatype="130" unbalanced="0"/>
    <cacheHierarchy uniqueName="[Tableau_REF_Risques].[Intitulé SM]" caption="Intitulé SM" attribute="1" defaultMemberUniqueName="[Tableau_REF_Risques].[Intitulé SM].[All]" allUniqueName="[Tableau_REF_Risques].[Intitulé SM].[All]" dimensionUniqueName="[Tableau_REF_Risques]" displayFolder="" count="0" memberValueDatatype="130" unbalanced="0"/>
    <cacheHierarchy uniqueName="[Tableau_REF_Risques].[D]" caption="D" attribute="1" defaultMemberUniqueName="[Tableau_REF_Risques].[D].[All]" allUniqueName="[Tableau_REF_Risques].[D].[All]" dimensionUniqueName="[Tableau_REF_Risques]" displayFolder="" count="0" memberValueDatatype="20" unbalanced="0"/>
    <cacheHierarchy uniqueName="[Tableau_REF_Risques].[I]" caption="I" attribute="1" defaultMemberUniqueName="[Tableau_REF_Risques].[I].[All]" allUniqueName="[Tableau_REF_Risques].[I].[All]" dimensionUniqueName="[Tableau_REF_Risques]" displayFolder="" count="0" memberValueDatatype="20" unbalanced="0"/>
    <cacheHierarchy uniqueName="[Tableau_REF_Risques].[C]" caption="C" attribute="1" defaultMemberUniqueName="[Tableau_REF_Risques].[C].[All]" allUniqueName="[Tableau_REF_Risques].[C].[All]" dimensionUniqueName="[Tableau_REF_Risques]" displayFolder="" count="0" memberValueDatatype="20" unbalanced="0"/>
    <cacheHierarchy uniqueName="[Tableau_REF_Risques].[P]" caption="P" attribute="1" defaultMemberUniqueName="[Tableau_REF_Risques].[P].[All]" allUniqueName="[Tableau_REF_Risques].[P].[All]" dimensionUniqueName="[Tableau_REF_Risques]" displayFolder="" count="0" memberValueDatatype="20" unbalanced="0"/>
    <cacheHierarchy uniqueName="[Tableau_REF_Risques].[Nb critères impactés]" caption="Nb critères impactés" attribute="1" defaultMemberUniqueName="[Tableau_REF_Risques].[Nb critères impactés].[All]" allUniqueName="[Tableau_REF_Risques].[Nb critères impactés].[All]" dimensionUniqueName="[Tableau_REF_Risques]" displayFolder="" count="0" memberValueDatatype="20" unbalanced="0"/>
    <cacheHierarchy uniqueName="[Tableau_REF_Risques].[Critères impactés]" caption="Critères impactés" attribute="1" defaultMemberUniqueName="[Tableau_REF_Risques].[Critères impactés].[All]" allUniqueName="[Tableau_REF_Risques].[Critères impactés].[All]" dimensionUniqueName="[Tableau_REF_Risques]" displayFolder="" count="0" memberValueDatatype="130" unbalanced="0"/>
    <cacheHierarchy uniqueName="[Tableau_REF_Risques].[Gravité]" caption="Gravité" attribute="1" defaultMemberUniqueName="[Tableau_REF_Risques].[Gravité].[All]" allUniqueName="[Tableau_REF_Risques].[Gravité].[All]" dimensionUniqueName="[Tableau_REF_Risques]" displayFolder="" count="0" memberValueDatatype="20" unbalanced="0"/>
    <cacheHierarchy uniqueName="[Tableau_REF_Risques].[Vraisemblance I]" caption="Vraisemblance I" attribute="1" defaultMemberUniqueName="[Tableau_REF_Risques].[Vraisemblance I].[All]" allUniqueName="[Tableau_REF_Risques].[Vraisemblance I].[All]" dimensionUniqueName="[Tableau_REF_Risques]" displayFolder="" count="0" memberValueDatatype="20" unbalanced="0"/>
    <cacheHierarchy uniqueName="[Tableau_REF_Risques].[NRI]" caption="NRI" attribute="1" defaultMemberUniqueName="[Tableau_REF_Risques].[NRI].[All]" allUniqueName="[Tableau_REF_Risques].[NRI].[All]" dimensionUniqueName="[Tableau_REF_Risques]" displayFolder="" count="0" memberValueDatatype="20" unbalanced="0"/>
    <cacheHierarchy uniqueName="[Tableau_REF_Risques].[Lib RI]" caption="Lib RI" attribute="1" defaultMemberUniqueName="[Tableau_REF_Risques].[Lib RI].[All]" allUniqueName="[Tableau_REF_Risques].[Lib RI].[All]" dimensionUniqueName="[Tableau_REF_Risques]" displayFolder="" count="0" memberValueDatatype="130" unbalanced="0"/>
    <cacheHierarchy uniqueName="[Tableau_REF_Risques].[Cout couv]" caption="Cout couv" attribute="1" defaultMemberUniqueName="[Tableau_REF_Risques].[Cout couv].[All]" allUniqueName="[Tableau_REF_Risques].[Cout couv].[All]" dimensionUniqueName="[Tableau_REF_Risques]" displayFolder="" count="0" memberValueDatatype="5" unbalanced="0"/>
    <cacheHierarchy uniqueName="[Tableau_REF_Risques].[Tx couv]" caption="Tx couv" attribute="1" defaultMemberUniqueName="[Tableau_REF_Risques].[Tx couv].[All]" allUniqueName="[Tableau_REF_Risques].[Tx couv].[All]" dimensionUniqueName="[Tableau_REF_Risques]" displayFolder="" count="0" memberValueDatatype="5" unbalanced="0"/>
    <cacheHierarchy uniqueName="[Tableau_REF_Risques].[Lib Tx Couv]" caption="Lib Tx Couv" attribute="1" defaultMemberUniqueName="[Tableau_REF_Risques].[Lib Tx Couv].[All]" allUniqueName="[Tableau_REF_Risques].[Lib Tx Couv].[All]" dimensionUniqueName="[Tableau_REF_Risques]" displayFolder="" count="0" memberValueDatatype="130" unbalanced="0"/>
    <cacheHierarchy uniqueName="[Tableau_REF_Risques].[Vraisemblance R]" caption="Vraisemblance R" attribute="1" defaultMemberUniqueName="[Tableau_REF_Risques].[Vraisemblance R].[All]" allUniqueName="[Tableau_REF_Risques].[Vraisemblance R].[All]" dimensionUniqueName="[Tableau_REF_Risques]" displayFolder="" count="0" memberValueDatatype="20" unbalanced="0"/>
    <cacheHierarchy uniqueName="[Tableau_REF_Risques].[NRR]" caption="NRR" attribute="1" defaultMemberUniqueName="[Tableau_REF_Risques].[NRR].[All]" allUniqueName="[Tableau_REF_Risques].[NRR].[All]" dimensionUniqueName="[Tableau_REF_Risques]" displayFolder="" count="0" memberValueDatatype="20" unbalanced="0"/>
    <cacheHierarchy uniqueName="[Tableau_REF_Risques].[Lib RR]" caption="Lib RR" attribute="1" defaultMemberUniqueName="[Tableau_REF_Risques].[Lib RR].[All]" allUniqueName="[Tableau_REF_Risques].[Lib RR].[All]" dimensionUniqueName="[Tableau_REF_Risques]" displayFolder="" count="0" memberValueDatatype="130" unbalanced="0"/>
    <cacheHierarchy uniqueName="[Tableau_REF_Risques].[Catégorie]" caption="Catégorie" attribute="1" defaultMemberUniqueName="[Tableau_REF_Risques].[Catégorie].[All]" allUniqueName="[Tableau_REF_Risques].[Catégorie].[All]" dimensionUniqueName="[Tableau_REF_Risques]" displayFolder="" count="0" memberValueDatatype="130" unbalanced="0"/>
    <cacheHierarchy uniqueName="[Tableau_REF_Risques].[Ref MITRE]" caption="Ref MITRE" attribute="1" defaultMemberUniqueName="[Tableau_REF_Risques].[Ref MITRE].[All]" allUniqueName="[Tableau_REF_Risques].[Ref MITRE].[All]" dimensionUniqueName="[Tableau_REF_Risques]" displayFolder="" count="0" memberValueDatatype="130" unbalanced="0"/>
    <cacheHierarchy uniqueName="[Tableau_REF_Risques].[Lien MITRE]" caption="Lien MITRE" attribute="1" defaultMemberUniqueName="[Tableau_REF_Risques].[Lien MITRE].[All]" allUniqueName="[Tableau_REF_Risques].[Lien MITRE].[All]" dimensionUniqueName="[Tableau_REF_Risques]" displayFolder="" count="0" memberValueDatatype="130" unbalanced="0"/>
    <cacheHierarchy uniqueName="[Tableau_REF_SMMS].[#SM]" caption="#SM" attribute="1" defaultMemberUniqueName="[Tableau_REF_SMMS].[#SM].[All]" allUniqueName="[Tableau_REF_SMMS].[#SM].[All]" dimensionUniqueName="[Tableau_REF_SMMS]" displayFolder="" count="0" memberValueDatatype="130" unbalanced="0"/>
    <cacheHierarchy uniqueName="[Tableau_REF_SMMS].[Libellé scénario]" caption="Libellé scénario" attribute="1" defaultMemberUniqueName="[Tableau_REF_SMMS].[Libellé scénario].[All]" allUniqueName="[Tableau_REF_SMMS].[Libellé scénario].[All]" dimensionUniqueName="[Tableau_REF_SMMS]" displayFolder="" count="0" memberValueDatatype="130" unbalanced="0"/>
    <cacheHierarchy uniqueName="[Tableau_REF_SMMS].[Niv Vraisemblance]" caption="Niv Vraisemblance" attribute="1" defaultMemberUniqueName="[Tableau_REF_SMMS].[Niv Vraisemblance].[All]" allUniqueName="[Tableau_REF_SMMS].[Niv Vraisemblance].[All]" dimensionUniqueName="[Tableau_REF_SMMS]" displayFolder="" count="0" memberValueDatatype="20" unbalanced="0"/>
    <cacheHierarchy uniqueName="[Tableau_REF_SMMS].[#MS]" caption="#MS" attribute="1" defaultMemberUniqueName="[Tableau_REF_SMMS].[#MS].[All]" allUniqueName="[Tableau_REF_SMMS].[#MS].[All]" dimensionUniqueName="[Tableau_REF_SMMS]" displayFolder="" count="0" memberValueDatatype="130" unbalanced="0"/>
    <cacheHierarchy uniqueName="[Tableau_REF_SMMS].[Libellé mesure]" caption="Libellé mesure" attribute="1" defaultMemberUniqueName="[Tableau_REF_SMMS].[Libellé mesure].[All]" allUniqueName="[Tableau_REF_SMMS].[Libellé mesure].[All]" dimensionUniqueName="[Tableau_REF_SMMS]" displayFolder="" count="0" memberValueDatatype="130" unbalanced="0"/>
    <cacheHierarchy uniqueName="[Tableau_REF_SMMS].[Couverture théorique]" caption="Couverture théorique" attribute="1" defaultMemberUniqueName="[Tableau_REF_SMMS].[Couverture théorique].[All]" allUniqueName="[Tableau_REF_SMMS].[Couverture théorique].[All]" dimensionUniqueName="[Tableau_REF_SMMS]" displayFolder="" count="0" memberValueDatatype="5" unbalanced="0"/>
    <cacheHierarchy uniqueName="[Tableau_REF_SMMS].[Taux recouvrement]" caption="Taux recouvrement" attribute="1" defaultMemberUniqueName="[Tableau_REF_SMMS].[Taux recouvrement].[All]" allUniqueName="[Tableau_REF_SMMS].[Taux recouvrement].[All]" dimensionUniqueName="[Tableau_REF_SMMS]" displayFolder="" count="0" memberValueDatatype="5" unbalanced="0"/>
    <cacheHierarchy uniqueName="[Tableau_REF_SMMS].[Couverture effective]" caption="Couverture effective" attribute="1" defaultMemberUniqueName="[Tableau_REF_SMMS].[Couverture effective].[All]" allUniqueName="[Tableau_REF_SMMS].[Couverture effective].[All]" dimensionUniqueName="[Tableau_REF_SMMS]" displayFolder="" count="0" memberValueDatatype="5" unbalanced="0"/>
    <cacheHierarchy uniqueName="[Tableau_REF_SMMS].[Cout couverture]" caption="Cout couverture" attribute="1" defaultMemberUniqueName="[Tableau_REF_SMMS].[Cout couverture].[All]" allUniqueName="[Tableau_REF_SMMS].[Cout couverture].[All]" dimensionUniqueName="[Tableau_REF_SMMS]" displayFolder="" count="0" memberValueDatatype="5" unbalanced="0"/>
    <cacheHierarchy uniqueName="[Tableau_REF_SMSR].[#SM]" caption="#SM" attribute="1" defaultMemberUniqueName="[Tableau_REF_SMSR].[#SM].[All]" allUniqueName="[Tableau_REF_SMSR].[#SM].[All]" dimensionUniqueName="[Tableau_REF_SMSR]" displayFolder="" count="2" memberValueDatatype="130" unbalanced="0">
      <fieldsUsage count="2">
        <fieldUsage x="-1"/>
        <fieldUsage x="0"/>
      </fieldsUsage>
    </cacheHierarchy>
    <cacheHierarchy uniqueName="[Tableau_REF_SMSR].[Libellé scénario]" caption="Libellé scénario" attribute="1" defaultMemberUniqueName="[Tableau_REF_SMSR].[Libellé scénario].[All]" allUniqueName="[Tableau_REF_SMSR].[Libellé scénario].[All]" dimensionUniqueName="[Tableau_REF_SMSR]" displayFolder="" count="2" memberValueDatatype="130" unbalanced="0">
      <fieldsUsage count="2">
        <fieldUsage x="-1"/>
        <fieldUsage x="2"/>
      </fieldsUsage>
    </cacheHierarchy>
    <cacheHierarchy uniqueName="[Tableau_REF_SMSR].[Source de risque]" caption="Source de risque" attribute="1" defaultMemberUniqueName="[Tableau_REF_SMSR].[Source de risque].[All]" allUniqueName="[Tableau_REF_SMSR].[Source de risque].[All]" dimensionUniqueName="[Tableau_REF_SMSR]" displayFolder="" count="0" memberValueDatatype="130" unbalanced="0"/>
    <cacheHierarchy uniqueName="[Tableau_REF_SMSR].[Vrais REF]" caption="Vrais REF" attribute="1" defaultMemberUniqueName="[Tableau_REF_SMSR].[Vrais REF].[All]" allUniqueName="[Tableau_REF_SMSR].[Vrais REF].[All]" dimensionUniqueName="[Tableau_REF_SMSR]" displayFolder="" count="0" memberValueDatatype="20" unbalanced="0"/>
    <cacheHierarchy uniqueName="[Tableau_REF_SMSR].[Vrais Retenue]" caption="Vrais Retenue" attribute="1" defaultMemberUniqueName="[Tableau_REF_SMSR].[Vrais Retenue].[All]" allUniqueName="[Tableau_REF_SMSR].[Vrais Retenue].[All]" dimensionUniqueName="[Tableau_REF_SMSR]" displayFolder="" count="0" memberValueDatatype="20" unbalanced="0"/>
    <cacheHierarchy uniqueName="[Tableau_REF_SR].[Source de risque]" caption="Source de risque" attribute="1" defaultMemberUniqueName="[Tableau_REF_SR].[Source de risque].[All]" allUniqueName="[Tableau_REF_SR].[Source de risque].[All]" dimensionUniqueName="[Tableau_REF_SR]" displayFolder="" count="0" memberValueDatatype="130" unbalanced="0"/>
    <cacheHierarchy uniqueName="[Tableau_REF_SR].[Type]" caption="Type" attribute="1" defaultMemberUniqueName="[Tableau_REF_SR].[Type].[All]" allUniqueName="[Tableau_REF_SR].[Type].[All]" dimensionUniqueName="[Tableau_REF_SR]" displayFolder="" count="0" memberValueDatatype="130" unbalanced="0"/>
    <cacheHierarchy uniqueName="[Tableau_REF_SR].[Pertinence]" caption="Pertinence" attribute="1" defaultMemberUniqueName="[Tableau_REF_SR].[Pertinence].[All]" allUniqueName="[Tableau_REF_SR].[Pertinence].[All]" dimensionUniqueName="[Tableau_REF_SR]" displayFolder="" count="0" memberValueDatatype="130" unbalanced="0"/>
    <cacheHierarchy uniqueName="[Measures].[__XL_Count Tableau_REF_SMSR]" caption="__XL_Count Tableau_REF_SMSR" measure="1" displayFolder="" measureGroup="Tableau_REF_SMSR" count="0" hidden="1"/>
    <cacheHierarchy uniqueName="[Measures].[__XL_Count Tableau_REF_SR]" caption="__XL_Count Tableau_REF_SR" measure="1" displayFolder="" measureGroup="Tableau_REF_SR" count="0" hidden="1"/>
    <cacheHierarchy uniqueName="[Measures].[__XL_Count Tableau_REF_Mesures]" caption="__XL_Count Tableau_REF_Mesures" measure="1" displayFolder="" measureGroup="Tableau_REF_Mesures" count="0" hidden="1"/>
    <cacheHierarchy uniqueName="[Measures].[__XL_Count Tableau_REF_SMMS]" caption="__XL_Count Tableau_REF_SMMS" measure="1" displayFolder="" measureGroup="Tableau_REF_SMMS" count="0" hidden="1"/>
    <cacheHierarchy uniqueName="[Measures].[__XL_Count Tableau_REF_Risques]" caption="__XL_Count Tableau_REF_Risques" measure="1" displayFolder="" measureGroup="Tableau_REF_Risques" count="0" hidden="1"/>
    <cacheHierarchy uniqueName="[Measures].[__Aucune mesure définie]" caption="__Aucune mesure définie" measure="1" displayFolder="" count="0" hidden="1"/>
    <cacheHierarchy uniqueName="[Measures].[Nombre de Pertinence]" caption="Nombre de Pertinenc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Nombre de Type]" caption="Nombre de Typ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Nombre de Source de risque]" caption="Nombre de Source de risque" measure="1" displayFolder="" measureGroup="Tableau_REF_SR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omme de TCO euros]" caption="Somme de TCO euros" measure="1" displayFolder="" measureGroup="Tableau_REF_Mesure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me de Couverture effective]" caption="Somm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Écartype de Couverture effective]" caption="Écartyp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Nombre de Couverture effective]" caption="Nombre de Couverture effectiv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Couverture théorique]" caption="Somm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Nombre de Couverture théorique]" caption="Nombre de Couverture théoriqu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e de Cout couverture 2]" caption="Somme de Cout couverture 2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omme de Niv Vraisemblance]" caption="Somme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imum de Niv Vraisemblance]" caption="Maximum de Niv Vraisemblance" measure="1" displayFolder="" measureGroup="Tableau_REF_SMM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e de Vrais Retenue]" caption="Somme de Vrais Retenue" measure="1" displayFolder="" measureGroup="Tableau_REF_SMSR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Maximum de Vrais Retenue]" caption="Maximum de Vrais Retenue" measure="1" displayFolder="" measureGroup="Tableau_REF_SMS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omme de Vraisemblance R]" caption="Somme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Maximum de Vraisemblance R]" caption="Maximum de Vraisemblance 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omme de Cout couv]" caption="Somme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omme de Vraisemblance I]" caption="Somme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Maximum de Cout couv]" caption="Maximum de Cout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Maximum de Vraisemblance I]" caption="Maximum de Vraisemblance 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e de Gravité]" caption="Somme de Gravité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omme de NRI]" caption="Somm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Maximum de NRI]" caption="Maximum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omme de NRR]" caption="Somme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Tx couv]" caption="Somme de Tx couv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Nombre de Lib RR]" caption="Nombre de Lib 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Maximum de NRR]" caption="Maximum de NRR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Nombre de NRI]" caption="Nombre de NRI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Nombre de #SM]" caption="Nombre de #SM" measure="1" displayFolder="" measureGroup="Tableau_REF_Risque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measure="1" name="Measures" uniqueName="[Measures]" caption="Measures"/>
    <dimension name="Tableau_REF_Mesures" uniqueName="[Tableau_REF_Mesures]" caption="Tableau_REF_Mesures"/>
    <dimension name="Tableau_REF_Risques" uniqueName="[Tableau_REF_Risques]" caption="Tableau_REF_Risques"/>
    <dimension name="Tableau_REF_SMMS" uniqueName="[Tableau_REF_SMMS]" caption="Tableau_REF_SMMS"/>
    <dimension name="Tableau_REF_SMSR" uniqueName="[Tableau_REF_SMSR]" caption="Tableau_REF_SMSR"/>
    <dimension name="Tableau_REF_SR" uniqueName="[Tableau_REF_SR]" caption="Tableau_REF_SR"/>
  </dimensions>
  <measureGroups count="5">
    <measureGroup name="Tableau_REF_Mesures" caption="Tableau_REF_Mesures"/>
    <measureGroup name="Tableau_REF_Risques" caption="Tableau_REF_Risques"/>
    <measureGroup name="Tableau_REF_SMMS" caption="Tableau_REF_SMMS"/>
    <measureGroup name="Tableau_REF_SMSR" caption="Tableau_REF_SMSR"/>
    <measureGroup name="Tableau_REF_SR" caption="Tableau_REF_SR"/>
  </measureGroups>
  <maps count="7">
    <map measureGroup="0" dimension="1"/>
    <map measureGroup="1" dimension="2"/>
    <map measureGroup="2" dimension="1"/>
    <map measureGroup="2" dimension="2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1723819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0.8"/>
    <n v="0.8"/>
    <n v="0"/>
    <n v="0.8"/>
    <n v="0.8"/>
  </r>
  <r>
    <x v="1"/>
    <n v="1"/>
    <n v="1"/>
    <n v="0"/>
    <n v="1"/>
    <n v="1"/>
  </r>
  <r>
    <x v="2"/>
    <n v="0.7"/>
    <n v="1"/>
    <n v="0"/>
    <n v="1"/>
    <n v="1"/>
  </r>
  <r>
    <x v="3"/>
    <n v="0"/>
    <n v="0.9"/>
    <n v="0"/>
    <n v="0.9"/>
    <n v="0.9"/>
  </r>
  <r>
    <x v="4"/>
    <n v="0.9"/>
    <n v="0.9"/>
    <n v="0"/>
    <n v="0.9"/>
    <n v="0.9"/>
  </r>
  <r>
    <x v="5"/>
    <n v="0.6"/>
    <n v="0.7"/>
    <n v="0"/>
    <n v="0.7"/>
    <n v="0.7"/>
  </r>
  <r>
    <x v="6"/>
    <n v="0.1"/>
    <n v="0.3"/>
    <n v="0"/>
    <n v="0.3"/>
    <n v="0.3"/>
  </r>
  <r>
    <x v="7"/>
    <n v="0.8"/>
    <n v="0.8"/>
    <n v="0"/>
    <n v="0.8"/>
    <n v="0.8"/>
  </r>
  <r>
    <x v="8"/>
    <n v="0.5"/>
    <n v="0.7"/>
    <n v="0"/>
    <n v="0.7"/>
    <n v="0.7"/>
  </r>
  <r>
    <x v="9"/>
    <n v="0.15"/>
    <n v="0.5"/>
    <n v="0"/>
    <n v="0.5"/>
    <n v="0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DB8938-A428-4438-9744-5D2A1B261D30}" name="PivotChartTable7" cacheId="35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#SM" fld="0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1398502160">
        <x15:pivotRow count="1">
          <x15:c>
            <x15:v>3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Risques"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0F0F05-B387-4934-8B7F-AE25B885DB5E}" name="PivotChartTable1" cacheId="34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1:AJ30" firstHeaderRow="1" firstDataRow="2" firstDataCol="1"/>
  <pivotFields count="3"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Somme de Cout couverture" fld="1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29"/>
  </rowHierarchiesUsage>
  <colHierarchiesUsage count="1">
    <colHierarchyUsage hierarchyUsage="3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8" columnCount="35" cacheId="66458818">
        <x15:pivotRow count="35">
          <x15:c>
            <x15:v>4298.0984035516785</x15:v>
          </x15:c>
          <x15:c t="e">
            <x15:v/>
          </x15:c>
          <x15:c t="e">
            <x15:v/>
          </x15:c>
          <x15:c>
            <x15:v>27670.756710503811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30168.281489036202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359.61376189261665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62496.750364984306</x15:v>
          </x15:c>
        </x15:pivotRow>
        <x15:pivotRow count="35">
          <x15:c>
            <x15:v>3782.3265951254775</x15:v>
          </x15:c>
          <x15:c t="e">
            <x15:v/>
          </x15:c>
          <x15:c>
            <x15:v>10818.652982580712</x15:v>
          </x15:c>
          <x15:c>
            <x15:v>12175.132952621676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316.46011046550268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90000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117092.57264079335</x15:v>
          </x15:c>
        </x15:pivotRow>
        <x15:pivotRow count="35">
          <x15:c>
            <x15:v>2424.5683302086395</x15:v>
          </x15:c>
          <x15:c>
            <x15:v>9827.5633180100758</x15:v>
          </x15:c>
          <x15:c>
            <x15:v>11096.054341108424</x15:v>
          </x15:c>
          <x15:c>
            <x15:v>7804.5724055267165</x15:v>
          </x15:c>
          <x15:c t="e">
            <x15:v/>
          </x15:c>
          <x15:c>
            <x15:v>7124.9062552611849</x15:v>
          </x15:c>
          <x15:c>
            <x15:v>64946.808510638301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202.85904517019404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103427.33220592352</x15:v>
          </x15:c>
        </x15:pivotRow>
        <x15:pivotRow count="35">
          <x15:c>
            <x15:v>8343.3674892473773</x15:v>
          </x15:c>
          <x15:c>
            <x15:v>15030.390956956588</x15:v>
          </x15:c>
          <x15:c t="e">
            <x15:v/>
          </x15:c>
          <x15:c>
            <x15:v>8952.3036416335872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930.76503078089024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33256.827118618443</x15:v>
          </x15:c>
        </x15:pivotRow>
        <x15:pivotRow count="35">
          <x15:c>
            <x15:v>2865.3989357011196</x15:v>
          </x15:c>
          <x15:c t="e">
            <x15:v/>
          </x15:c>
          <x15:c t="e">
            <x15:v/>
          </x15:c>
          <x15:c t="e">
            <x15:v/>
          </x15:c>
          <x15:c>
            <x15:v>28649.735063036729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13602.342987308819</x15:v>
          </x15:c>
          <x15:c t="e">
            <x15:v/>
          </x15:c>
          <x15:c>
            <x15:v>239.74250792841116</x15:v>
          </x15:c>
          <x15:c>
            <x15:v>4219.7650340554364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3788.8216270179005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53365.806155048413</x15:v>
          </x15:c>
        </x15:pivotRow>
        <x15:pivotRow count="35">
          <x15:c>
            <x15:v>2488.3727599509721</x15:v>
          </x15:c>
          <x15:c t="e">
            <x15:v/>
          </x15:c>
          <x15:c>
            <x15:v>4270.5209141765963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9450.0488122356019</x15:v>
          </x15:c>
          <x15:c t="e">
            <x15:v/>
          </x15:c>
          <x15:c>
            <x15:v>208.19744109572545</x15:v>
          </x15:c>
          <x15:c>
            <x15:v>5863.2524683717647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3290.2924655681763</x15:v>
          </x15:c>
          <x15:c>
            <x15:v>17871.238283177106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43441.923144575936</x15:v>
          </x15:c>
        </x15:pivotRow>
        <x15:pivotRow count="35">
          <x15:c>
            <x15:v>2363.9541219534235</x15:v>
          </x15:c>
          <x15:c t="e">
            <x15:v/>
          </x15:c>
          <x15:c>
            <x15:v>4056.994868467767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8037.0370370370383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13466.319557435731</x15:v>
          </x15:c>
          <x15:c>
            <x15:v>47294.117647058825</x15:v>
          </x15:c>
          <x15:c>
            <x15:v>197.78756904093916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3125.7778422897677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78541.988643283505</x15:v>
          </x15:c>
        </x15:pivotRow>
        <x15:pivotRow count="35">
          <x15:c>
            <x15:v>1525.1316915828538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2327.8557768294218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127.60488325221881</x15:v>
          </x15:c>
          <x15:c t="e">
            <x15:v/>
          </x15:c>
          <x15:c>
            <x15:v>3372.0322157290584</x15:v>
          </x15:c>
          <x15:c>
            <x15:v>0</x15:v>
          </x15:c>
          <x15:c>
            <x15:v>0</x15:v>
          </x15:c>
          <x15:c t="e">
            <x15:v/>
          </x15:c>
          <x15:c>
            <x15:v>2016.6308659933986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5329.1091750385585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14698.364608425511</x15:v>
          </x15:c>
        </x15:pivotRow>
        <x15:pivotRow count="35">
          <x15:c>
            <x15:v>4502.7697561017585</x15:v>
          </x15:c>
          <x15:c t="e">
            <x15:v/>
          </x15:c>
          <x15:c t="e">
            <x15:v/>
          </x15:c>
          <x15:c>
            <x15:v>9662.8039306521223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753.476453489292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14919.050140243173</x15:v>
          </x15:c>
        </x15:pivotRow>
        <x15:pivotRow count="35">
          <x15:c>
            <x15:v>2251.3848780508793</x15:v>
          </x15:c>
          <x15:c>
            <x15:v>4562.7972547903919</x15:v>
          </x15:c>
          <x15:c>
            <x15:v>3863.8046366359681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3818.1761418895276</x15:v>
          </x15:c>
          <x15:c>
            <x15:v>0</x15:v>
          </x15:c>
          <x15:c>
            <x15:v>18965.948801300281</x15:v>
          </x15:c>
          <x15:c t="e">
            <x15:v/>
          </x15:c>
          <x15:c t="e">
            <x15:v/>
          </x15:c>
          <x15:c>
            <x15:v>188.369113372323</x15:v>
          </x15:c>
          <x15:c>
            <x15:v>3315.5296696149858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2976.9312783712071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39942.941774025567</x15:v>
          </x15:c>
        </x15:pivotRow>
        <x15:pivotRow count="35">
          <x15:c>
            <x15:v>4502.7697561017585</x15:v>
          </x15:c>
          <x15:c>
            <x15:v>7604.6620913173192</x15:v>
          </x15:c>
          <x15:c>
            <x15:v>3863.8046366359681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3818.1761418895276</x15:v>
          </x15:c>
          <x15:c>
            <x15:v>0</x15:v>
          </x15:c>
          <x15:c>
            <x15:v>18965.948801300281</x15:v>
          </x15:c>
          <x15:c t="e">
            <x15:v/>
          </x15:c>
          <x15:c t="e">
            <x15:v/>
          </x15:c>
          <x15:c>
            <x15:v>188.369113372323</x15:v>
          </x15:c>
          <x15:c>
            <x15:v>3315.5296696149858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42259.260210232162</x15:v>
          </x15:c>
        </x15:pivotRow>
        <x15:pivotRow count="35">
          <x15:c>
            <x15:v>2363.9541219534235</x15:v>
          </x15:c>
          <x15:c>
            <x15:v>4790.937117529912</x15:v>
          </x15:c>
          <x15:c>
            <x15:v>6761.6581141129445</x15:v>
          </x15:c>
          <x15:c>
            <x15:v>15218.916190777096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12446.403900853311</x15:v>
          </x15:c>
          <x15:c t="e">
            <x15:v/>
          </x15:c>
          <x15:c t="e">
            <x15:v/>
          </x15:c>
          <x15:c>
            <x15:v>197.78756904093916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11639.518490402343</x15:v>
          </x15:c>
          <x15:c>
            <x15:v>53419.175504669969</x15:v>
          </x15:c>
        </x15:pivotRow>
        <x15:pivotRow count="35">
          <x15:c>
            <x15:v>1390.5612482078961</x15:v>
          </x15:c>
          <x15:c>
            <x15:v>2818.1983044293597</x15:v>
          </x15:c>
          <x15:c>
            <x15:v>2386.4675696869217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6100.2039775624671</x15:v>
          </x15:c>
          <x15:c>
            <x15:v>2358.2852641082382</x15:v>
          </x15:c>
          <x15:c>
            <x15:v>0</x15:v>
          </x15:c>
          <x15:c>
            <x15:v>7321.4140593254779</x15:v>
          </x15:c>
          <x15:c t="e">
            <x15:v/>
          </x15:c>
          <x15:c t="e">
            <x15:v/>
          </x15:c>
          <x15:c>
            <x15:v>116.34562884761128</x15:v>
          </x15:c>
          <x15:c>
            <x15:v>2047.8271488798441</x15:v>
          </x15:c>
          <x15:c>
            <x15:v>2690.1874662250207</x15:v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3644.1702446954855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30873.660911968327</x15:v>
          </x15:c>
        </x15:pivotRow>
        <x15:pivotRow count="35">
          <x15:c>
            <x15:v>2781.1224964157923</x15:v>
          </x15:c>
          <x15:c t="e">
            <x15:v/>
          </x15:c>
          <x15:c>
            <x15:v>7954.8918989564054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3773.2564225731808</x15:v>
          </x15:c>
          <x15:c t="e">
            <x15:v/>
          </x15:c>
          <x15:c>
            <x15:v>23428.524989841528</x15:v>
          </x15:c>
          <x15:c t="e">
            <x15:v/>
          </x15:c>
          <x15:c t="e">
            <x15:v/>
          </x15:c>
          <x15:c>
            <x15:v>232.69125769522256</x15:v>
          </x15:c>
          <x15:c>
            <x15:v>4095.6542977596882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42266.141363241819</x15:v>
          </x15:c>
        </x15:pivotRow>
        <x15:pivotRow count="35">
          <x15:c>
            <x15:v>2055.6122799594987</x15:v>
          </x15:c>
          <x15:c t="e">
            <x15:v/>
          </x15:c>
          <x15:c>
            <x15:v>3527.8216247545797</x15:v>
          </x15:c>
          <x15:c t="e">
            <x15:v/>
          </x15:c>
          <x15:c t="e">
            <x15:v/>
          </x15:c>
          <x15:c>
            <x15:v>5033.9011586084471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3486.1608252034821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171.98919047038191</x15:v>
          </x15:c>
          <x15:c t="e">
            <x15:v/>
          </x15:c>
          <x15:c>
            <x15:v>1704.3423699065354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>
            <x15:v>23621.114948199312</x15:v>
          </x15:c>
          <x15:c t="e">
            <x15:v/>
          </x15:c>
          <x15:c>
            <x15:v>16370.429064078922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55971.371461181152</x15:v>
          </x15:c>
        </x15:pivotRow>
        <x15:pivotRow count="35">
          <x15:c>
            <x15:v>2011.8758484709983</x15:v>
          </x15:c>
          <x15:c t="e">
            <x15:v/>
          </x15:c>
          <x15:c>
            <x15:v>3452.7615901853328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2729.5897524997476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168.32984599228865</x15:v>
          </x15:c>
          <x15:c t="e">
            <x15:v/>
          </x15:c>
          <x15:c>
            <x15:v>2224.1063550553363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16022.122062715536</x15:v>
          </x15:c>
          <x15:c>
            <x15:v>0</x15:v>
          </x15:c>
          <x15:c>
            <x15:v>0</x15:v>
          </x15:c>
          <x15:c>
            <x15:v>7029.8886989870352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33638.674153906279</x15:v>
          </x15:c>
        </x15:pivotRow>
        <x15:pivotRow count="35">
          <x15:c>
            <x15:v>3377.0773170763196</x15:v>
          </x15:c>
          <x15:c>
            <x15:v>11406.99313697598</x15:v>
          </x15:c>
          <x15:c>
            <x15:v>5795.7069549539528</x15:v>
          </x15:c>
          <x15:c t="e">
            <x15:v/>
          </x15:c>
          <x15:c>
            <x15:v>8441.439795359036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282.55367005848456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48507.646768623585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77811.41764304736</x15:v>
          </x15:c>
        </x15:pivotRow>
        <x15:pivotRow count="35">
          <x15:c>
            <x15:v>1891.1632975627388</x15:v>
          </x15:c>
          <x15:c>
            <x15:v>6387.9161567065494</x15:v>
          </x15:c>
          <x15:c>
            <x15:v>3245.5958947742133</x15:v>
          </x15:c>
          <x15:c t="e">
            <x15:v/>
          </x15:c>
          <x15:c>
            <x15:v>18908.82514160424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632.92022093100536</x15:v>
          </x15:c>
          <x15:c t="e">
            <x15:v/>
          </x15:c>
          <x15:c>
            <x15:v>1829.3274770330145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>
            <x15:v>6886.769381266814</x15:v>
          </x15:c>
          <x15:c>
            <x15:v>0</x15:v>
          </x15:c>
          <x15:c t="e">
            <x15:v/>
          </x15:c>
          <x15:c t="e">
            <x15:v/>
          </x15:c>
          <x15:c>
            <x15:v>39782.517569878575</x15:v>
          </x15:c>
        </x15:pivotRow>
        <x15:pivotRow count="35">
          <x15:c>
            <x15:v>1525.1316915828538</x15:v>
          </x15:c>
          <x15:c>
            <x15:v>5151.545333000171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12962.962962962962</x15:v>
          </x15:c>
          <x15:c>
            <x15:v>0</x15:v>
          </x15:c>
          <x15:c t="e">
            <x15:v/>
          </x15:c>
          <x15:c>
            <x15:v>2845.1570605692937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127.60488325221881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2823.2832123907574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3996.8318812789194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29432.517025037174</x15:v>
          </x15:c>
        </x15:pivotRow>
        <x15:pivotRow count="35">
          <x15:c>
            <x15:v>3939.923536589039</x15:v>
          </x15:c>
          <x15:c t="e">
            <x15:v/>
          </x15:c>
          <x15:c>
            <x15:v>6761.6581141129445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7481.2886430198505</x15:v>
          </x15:c>
          <x15:c>
            <x15:v>19705.882352941178</x15:v>
          </x15:c>
          <x15:c>
            <x15:v>824.11487100391321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14549.398113002928</x15:v>
          </x15:c>
          <x15:c>
            <x15:v>53262.265630669855</x15:v>
          </x15:c>
        </x15:pivotRow>
        <x15:pivotRow count="35">
          <x15:c>
            <x15:v>1477.4713262208895</x15:v>
          </x15:c>
          <x15:c t="e">
            <x15:v/>
          </x15:c>
          <x15:c>
            <x15:v>4226.0363213205901</x15:v>
          </x15:c>
          <x15:c t="e">
            <x15:v/>
          </x15:c>
          <x15:c t="e">
            <x15:v/>
          </x15:c>
          <x15:c>
            <x15:v>5788.9863323997124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123.61723065058698</x15:v>
          </x15:c>
          <x15:c>
            <x15:v>2175.8163456848347</x15:v>
          </x15:c>
          <x15:c>
            <x15:v>2858.3241828640844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35298.737669420159</x15:v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>
            <x15:v>8070.4328686720482</x15:v>
          </x15:c>
          <x15:c>
            <x15:v>0</x15:v>
          </x15:c>
          <x15:c t="e">
            <x15:v/>
          </x15:c>
          <x15:c>
            <x15:v>6365.36167443878</x15:v>
          </x15:c>
          <x15:c>
            <x15:v>66384.783951671678</x15:v>
          </x15:c>
        </x15:pivotRow>
        <x15:pivotRow count="35">
          <x15:c>
            <x15:v>1719.2393614206715</x15:v>
          </x15:c>
          <x15:c>
            <x15:v>3484.3179036581178</x15:v>
          </x15:c>
          <x15:c>
            <x15:v>4917.5695375366868</x15:v>
          </x15:c>
          <x15:c t="e">
            <x15:v/>
          </x15:c>
          <x15:c t="e">
            <x15:v/>
          </x15:c>
          <x15:c>
            <x15:v>5052.2062537306583</x15:v>
          </x15:c>
          <x15:c>
            <x15:v>46053.191489361707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143.84550475704668</x15:v>
          </x15:c>
          <x15:c t="e">
            <x15:v/>
          </x15:c>
          <x15:c>
            <x15:v>1663.0249791209224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0</x15:v>
          </x15:c>
          <x15:c>
            <x15:v>25042.797750061141</x15:v>
          </x15:c>
          <x15:c>
            <x15:v>0</x15:v>
          </x15:c>
          <x15:c t="e">
            <x15:v/>
          </x15:c>
          <x15:c t="e">
            <x15:v/>
          </x15:c>
          <x15:c>
            <x15:v>88076.192779646954</x15:v>
          </x15:c>
        </x15:pivotRow>
        <x15:pivotRow count="35">
          <x15:c>
            <x15:v>2149.0492017758393</x15:v>
          </x15:c>
          <x15:c>
            <x15:v>4355.397379572647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9427.5879653238135</x15:v>
          </x15:c>
          <x15:c>
            <x15:v>4009.0849489840043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179.80688094630833</x15:v>
          </x15:c>
          <x15:c>
            <x15:v>3164.8237755415776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3978.2627083687948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27264.012860512987</x15:v>
          </x15:c>
        </x15:pivotRow>
        <x15:pivotRow count="35">
          <x15:c>
            <x15:v>3782.3265951254784</x15:v>
          </x15:c>
          <x15:c>
            <x15:v>7665.4993880478596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316.46011046550274</x15:v>
          </x15:c>
          <x15:c t="e">
            <x15:v/>
          </x15:c>
          <x15:c>
            <x15:v>3658.6549540660289</x15:v>
          </x15:c>
          <x15:c>
            <x15:v>0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>
            <x15:v>15422.94104770487</x15:v>
          </x15:c>
        </x15:pivotRow>
        <x15:pivotRow count="35">
          <x15:c>
            <x15:v>2424.5683302086395</x15:v>
          </x15:c>
          <x15:c>
            <x15:v>4913.7816590050379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17871.759447379114</x15:v>
          </x15:c>
          <x15:c t="e">
            <x15:v/>
          </x15:c>
          <x15:c t="e">
            <x15:v/>
          </x15:c>
          <x15:c>
            <x15:v>202.85904517019404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19308.711203785391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>
            <x15:v>56000</x15:v>
          </x15:c>
          <x15:c>
            <x15:v>10445.721722155948</x15:v>
          </x15:c>
          <x15:c>
            <x15:v>111167.40140770431</x15:v>
          </x15:c>
        </x15:pivotRow>
        <x15:pivotRow count="35">
          <x15:c>
            <x15:v>3260.6263751081701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14303.92656807751</x15:v>
          </x15:c>
          <x15:c>
            <x15:v>6082.7495777688337</x15:v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>
            <x15:v>272.81044005646777</x15:v>
          </x15:c>
          <x15:c>
            <x15:v>4801.8015904768763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28721.914551487858</x15:v>
          </x15:c>
        </x15:pivotRow>
        <x15:pivotRow count="35">
          <x15:c>
            <x15:v>3502.1542547458125</x15:v>
          </x15:c>
          <x15:c t="e">
            <x15:v/>
          </x15:c>
          <x15:c t="e">
            <x15:v/>
          </x15:c>
          <x15:c>
            <x15:v>7515.5141682849853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4751.5080876847451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293.01862080139136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0</x15:v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 t="e">
            <x15:v/>
          </x15:c>
          <x15:c>
            <x15:v>16062.195131516935</x15:v>
          </x15:c>
        </x15:pivotRow>
        <x15:pivotRow count="35">
          <x15:c>
            <x15:v>78999.999999999985</x15:v>
          </x15:c>
          <x15:c>
            <x15:v>88000</x15:v>
          </x15:c>
          <x15:c>
            <x15:v>87000</x15:v>
          </x15:c>
          <x15:c>
            <x15:v>89000</x15:v>
          </x15:c>
          <x15:c>
            <x15:v>56000.000000000007</x15:v>
          </x15:c>
          <x15:c>
            <x15:v>23000.000000000004</x15:v>
          </x15:c>
          <x15:c>
            <x15:v>111000</x15:v>
          </x15:c>
          <x15:c>
            <x15:v>21000</x15:v>
          </x15:c>
          <x15:c>
            <x15:v>0</x15:v>
          </x15:c>
          <x15:c>
            <x15:v>59999.999999999985</x15:v>
          </x15:c>
          <x15:c>
            <x15:v>40000</x15:v>
          </x15:c>
          <x15:c>
            <x15:v>0</x15:v>
          </x15:c>
          <x15:c>
            <x15:v>99000</x15:v>
          </x15:c>
          <x15:c>
            <x15:v>44000</x15:v>
          </x15:c>
          <x15:c>
            <x15:v>67000</x15:v>
          </x15:c>
          <x15:c>
            <x15:v>8000</x15:v>
          </x15:c>
          <x15:c>
            <x15:v>32999.999999999993</x15:v>
          </x15:c>
          <x15:c>
            <x15:v>20000</x15:v>
          </x15:c>
          <x15:c>
            <x15:v>0</x15:v>
          </x15:c>
          <x15:c>
            <x15:v>0</x15:v>
          </x15:c>
          <x15:c>
            <x15:v>90000</x15:v>
          </x15:c>
          <x15:c>
            <x15:v>22000.000000000004</x15:v>
          </x15:c>
          <x15:c>
            <x15:v>90000</x15:v>
          </x15:c>
          <x15:c>
            <x15:v>0</x15:v>
          </x15:c>
          <x15:c>
            <x15:v>87000.000000000015</x15:v>
          </x15:c>
          <x15:c>
            <x15:v>0</x15:v>
          </x15:c>
          <x15:c>
            <x15:v>0</x15:v>
          </x15:c>
          <x15:c>
            <x15:v>20000</x15:v>
          </x15:c>
          <x15:c>
            <x15:v>0</x15:v>
          </x15:c>
          <x15:c>
            <x15:v>0</x15:v>
          </x15:c>
          <x15:c>
            <x15:v>40000.000000000007</x15:v>
          </x15:c>
          <x15:c>
            <x15:v>0</x15:v>
          </x15:c>
          <x15:c>
            <x15:v>56000</x15:v>
          </x15:c>
          <x15:c>
            <x15:v>43000</x15:v>
          </x15:c>
          <x15:c>
            <x15:v>1373000.0000000005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MMS">
        <x15:activeTabTopLevelEntity name="[Tableau_REF_SMM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56D35-8CD4-42F1-BCFA-452DB7024713}" name="PivotChartTable5" cacheId="4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1:B29" firstHeaderRow="1" firstDataRow="1" firstDataCol="1"/>
  <pivotFields count="3">
    <pivotField axis="axisRow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Maximum de Vrais Retenue" fld="1" subtotal="max" baseField="0" baseItem="8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imum de Vrais Retenu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8" columnCount="1" cacheId="617238193"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1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4</x15:v>
          </x15:c>
        </x15:pivotRow>
        <x15:pivotRow count="1">
          <x15:c>
            <x15:v>2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3</x15:v>
          </x15:c>
        </x15:pivotRow>
        <x15:pivotRow count="1">
          <x15:c>
            <x15:v>4</x15:v>
          </x15:c>
        </x15:pivotRow>
        <x15:pivotRow count="1">
          <x15:c>
            <x15:v>3</x15:v>
          </x15:c>
        </x15:pivotRow>
        <x15:pivotRow count="1">
          <x15:c>
            <x15:v>2</x15:v>
          </x15:c>
        </x15:pivotRow>
        <x15:pivotRow count="1">
          <x15:c>
            <x15:v>4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MSR">
        <x15:activeTabTopLevelEntity name="[Tableau_REF_SM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F0662-B4E9-4774-BB99-00A7AD5620E1}" name="PivotChartTable4" cacheId="33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1">
  <location ref="A1:B37" firstHeaderRow="1" firstDataRow="1" firstDataCol="1"/>
  <pivotFields count="3">
    <pivotField axis="axisRow" allDrilled="1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omme de TCO euros" fld="1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</chartFormats>
  <pivotHierarchies count="81"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6" columnCount="1" cacheId="719369447">
        <x15:pivotRow count="1">
          <x15:c>
            <x15:v>79000</x15:v>
          </x15:c>
        </x15:pivotRow>
        <x15:pivotRow count="1">
          <x15:c>
            <x15:v>98000</x15:v>
          </x15:c>
        </x15:pivotRow>
        <x15:pivotRow count="1">
          <x15:c>
            <x15:v>88000</x15:v>
          </x15:c>
        </x15:pivotRow>
        <x15:pivotRow count="1">
          <x15:c>
            <x15:v>87000</x15:v>
          </x15:c>
        </x15:pivotRow>
        <x15:pivotRow count="1">
          <x15:c>
            <x15:v>89000</x15:v>
          </x15:c>
        </x15:pivotRow>
        <x15:pivotRow count="1">
          <x15:c>
            <x15:v>56000</x15:v>
          </x15:c>
        </x15:pivotRow>
        <x15:pivotRow count="1">
          <x15:c>
            <x15:v>23000</x15:v>
          </x15:c>
        </x15:pivotRow>
        <x15:pivotRow count="1">
          <x15:c>
            <x15:v>111000</x15:v>
          </x15:c>
        </x15:pivotRow>
        <x15:pivotRow count="1">
          <x15:c>
            <x15:v>21000</x15:v>
          </x15:c>
        </x15:pivotRow>
        <x15:pivotRow count="1">
          <x15:c>
            <x15:v>0</x15:v>
          </x15:c>
        </x15:pivotRow>
        <x15:pivotRow count="1">
          <x15:c>
            <x15:v>60000</x15:v>
          </x15:c>
        </x15:pivotRow>
        <x15:pivotRow count="1">
          <x15:c>
            <x15:v>40000</x15:v>
          </x15:c>
        </x15:pivotRow>
        <x15:pivotRow count="1">
          <x15:c>
            <x15:v>0</x15:v>
          </x15:c>
        </x15:pivotRow>
        <x15:pivotRow count="1">
          <x15:c>
            <x15:v>99000</x15:v>
          </x15:c>
        </x15:pivotRow>
        <x15:pivotRow count="1">
          <x15:c>
            <x15:v>44000</x15:v>
          </x15:c>
        </x15:pivotRow>
        <x15:pivotRow count="1">
          <x15:c>
            <x15:v>67000</x15:v>
          </x15:c>
        </x15:pivotRow>
        <x15:pivotRow count="1">
          <x15:c>
            <x15:v>8000</x15:v>
          </x15:c>
        </x15:pivotRow>
        <x15:pivotRow count="1">
          <x15:c>
            <x15:v>33000</x15:v>
          </x15:c>
        </x15:pivotRow>
        <x15:pivotRow count="1">
          <x15:c>
            <x15:v>20000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90000</x15:v>
          </x15:c>
        </x15:pivotRow>
        <x15:pivotRow count="1">
          <x15:c>
            <x15:v>22000</x15:v>
          </x15:c>
        </x15:pivotRow>
        <x15:pivotRow count="1">
          <x15:c>
            <x15:v>90000</x15:v>
          </x15:c>
        </x15:pivotRow>
        <x15:pivotRow count="1">
          <x15:c>
            <x15:v>0</x15:v>
          </x15:c>
        </x15:pivotRow>
        <x15:pivotRow count="1">
          <x15:c>
            <x15:v>87000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20000</x15:v>
          </x15:c>
        </x15:pivotRow>
        <x15:pivotRow count="1">
          <x15:c>
            <x15:v>0</x15:v>
          </x15:c>
        </x15:pivotRow>
        <x15:pivotRow count="1">
          <x15:c>
            <x15:v>0</x15:v>
          </x15:c>
        </x15:pivotRow>
        <x15:pivotRow count="1">
          <x15:c>
            <x15:v>40000</x15:v>
          </x15:c>
        </x15:pivotRow>
        <x15:pivotRow count="1">
          <x15:c>
            <x15:v>0</x15:v>
          </x15:c>
        </x15:pivotRow>
        <x15:pivotRow count="1">
          <x15:c>
            <x15:v>56000</x15:v>
          </x15:c>
        </x15:pivotRow>
        <x15:pivotRow count="1">
          <x15:c>
            <x15:v>43000</x15:v>
          </x15:c>
        </x15:pivotRow>
        <x15:pivotRow count="1">
          <x15:c>
            <x15:v>1471000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Mesures">
        <x15:activeTabTopLevelEntity name="[Tableau_REF_Me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097C-7223-4633-8C4A-06E01FA01B15}" name="PivotChartTable3" cacheId="32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4">
  <location ref="A1:B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Nombre de Source de risque" fld="0" subtotal="count" baseField="0" baseItem="0"/>
  </dataFields>
  <chartFormats count="4">
    <chartFormat chart="1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1718030632">
        <x15:pivotRow count="1">
          <x15:c>
            <x15:v>3</x15:v>
          </x15:c>
        </x15:pivotRow>
        <x15:pivotRow count="1">
          <x15:c>
            <x15:v>9</x15:v>
          </x15:c>
        </x15:pivotRow>
        <x15:pivotRow count="1">
          <x15:c>
            <x15:v>12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R">
        <x15:activeTabTopLevelEntity name="[Tableau_REF_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7097C-7223-4633-8C4A-06E01FA01B15}" name="PivotChartTable2" cacheId="31" applyNumberFormats="0" applyBorderFormats="0" applyFontFormats="0" applyPatternFormats="0" applyAlignmentFormats="0" applyWidthHeightFormats="1" dataCaption="Valeurs" updatedVersion="6" minRefreshableVersion="3" useAutoFormatting="1" subtotalHiddenItems="1" itemPrintTitles="1" createdVersion="6" indent="0" outline="1" outlineData="1" multipleFieldFilters="0" chartFormat="2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Nombre de Source de risque" fld="1" subtotal="count" baseField="0" baseItem="0"/>
  </dataFields>
  <chartFormats count="3"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3" columnCount="1" cacheId="759733779">
        <x15:pivotRow count="1">
          <x15:c>
            <x15:v>4</x15:v>
          </x15:c>
        </x15:pivotRow>
        <x15:pivotRow count="1">
          <x15:c>
            <x15:v>8</x15:v>
          </x15:c>
        </x15:pivotRow>
        <x15:pivotRow count="1">
          <x15:c>
            <x15:v>12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rototype Outil rationalisation SSI_Pivot - New.xlsx!Tableau_REF_SR">
        <x15:activeTabTopLevelEntity name="[Tableau_REF_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AE9E0D-54E6-41E4-ABE1-0C23804E50D4}" name="Tableau croisé dynamique2" cacheId="43" applyNumberFormats="0" applyBorderFormats="0" applyFontFormats="0" applyPatternFormats="0" applyAlignmentFormats="0" applyWidthHeightFormats="1" dataCaption="Valeurs" tag="a9f9e5ff-a801-4b77-87d0-30d8f54fcb05" updatedVersion="6" minRefreshableVersion="3" showDrill="0" useAutoFormatting="1" subtotalHiddenItems="1" rowGrandTotals="0" colGrandTotals="0" itemPrintTitles="1" createdVersion="6" indent="0" showHeaders="0" compact="0" outline="1" outlineData="1" compactData="0" multipleFieldFilters="0" chartFormat="2" rowHeaderCaption="" colHeaderCaption="">
  <location ref="B10:J64" firstHeaderRow="1" firstDataRow="2" firstDataCol="2"/>
  <pivotFields count="5">
    <pivotField name="Source de risque" axis="axisCol" compact="0" allDrilled="1" showAll="0" insertBlankRow="1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name="Libellé scénario" axis="axisRow" compact="0" allDrilled="1" outline="0" showAll="0" insertBlankRow="1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compact="0" allDrilled="1" showAll="0" insertBlankRow="1" dataSourceSort="1" defaultSubtotal="0" defaultAttributeDrillState="1"/>
    <pivotField axis="axisRow" compact="0" allDrilled="1" outline="0" subtotalTop="0" showAll="0" insertBlankRow="1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compact="0" subtotalTop="0" showAll="0" insertBlankRow="1" defaultSubtotal="0"/>
  </pivotFields>
  <rowFields count="2">
    <field x="3"/>
    <field x="1"/>
  </rowFields>
  <rowItems count="53">
    <i>
      <x/>
      <x/>
    </i>
    <i t="blank">
      <x/>
    </i>
    <i>
      <x v="1"/>
      <x v="1"/>
    </i>
    <i t="blank">
      <x v="1"/>
    </i>
    <i>
      <x v="2"/>
      <x v="2"/>
    </i>
    <i t="blank">
      <x v="2"/>
    </i>
    <i>
      <x v="3"/>
      <x v="3"/>
    </i>
    <i t="blank">
      <x v="3"/>
    </i>
    <i>
      <x v="4"/>
      <x v="4"/>
    </i>
    <i t="blank">
      <x v="4"/>
    </i>
    <i>
      <x v="5"/>
      <x v="5"/>
    </i>
    <i t="blank">
      <x v="5"/>
    </i>
    <i>
      <x v="6"/>
      <x v="6"/>
    </i>
    <i t="blank">
      <x v="6"/>
    </i>
    <i>
      <x v="7"/>
      <x v="7"/>
    </i>
    <i t="blank">
      <x v="7"/>
    </i>
    <i>
      <x v="8"/>
      <x v="8"/>
    </i>
    <i t="blank">
      <x v="8"/>
    </i>
    <i>
      <x v="9"/>
      <x v="9"/>
    </i>
    <i t="blank">
      <x v="9"/>
    </i>
    <i>
      <x v="10"/>
      <x v="10"/>
    </i>
    <i t="blank">
      <x v="10"/>
    </i>
    <i>
      <x v="11"/>
      <x v="11"/>
    </i>
    <i t="blank">
      <x v="11"/>
    </i>
    <i>
      <x v="12"/>
      <x v="12"/>
    </i>
    <i t="blank">
      <x v="12"/>
    </i>
    <i>
      <x v="13"/>
      <x v="13"/>
    </i>
    <i t="blank">
      <x v="13"/>
    </i>
    <i>
      <x v="14"/>
      <x v="14"/>
    </i>
    <i t="blank">
      <x v="14"/>
    </i>
    <i>
      <x v="15"/>
      <x v="15"/>
    </i>
    <i t="blank">
      <x v="15"/>
    </i>
    <i>
      <x v="16"/>
      <x v="16"/>
    </i>
    <i t="blank">
      <x v="16"/>
    </i>
    <i>
      <x v="17"/>
      <x v="17"/>
    </i>
    <i t="blank">
      <x v="17"/>
    </i>
    <i>
      <x v="18"/>
      <x v="18"/>
    </i>
    <i t="blank">
      <x v="18"/>
    </i>
    <i>
      <x v="19"/>
      <x v="19"/>
    </i>
    <i t="blank">
      <x v="19"/>
    </i>
    <i>
      <x v="20"/>
      <x v="20"/>
    </i>
    <i t="blank">
      <x v="20"/>
    </i>
    <i>
      <x v="21"/>
      <x v="21"/>
    </i>
    <i t="blank">
      <x v="21"/>
    </i>
    <i>
      <x v="22"/>
      <x v="22"/>
    </i>
    <i t="blank">
      <x v="22"/>
    </i>
    <i>
      <x v="23"/>
      <x v="23"/>
    </i>
    <i t="blank">
      <x v="23"/>
    </i>
    <i>
      <x v="24"/>
      <x v="24"/>
    </i>
    <i t="blank">
      <x v="24"/>
    </i>
    <i>
      <x v="25"/>
      <x v="25"/>
    </i>
    <i t="blank">
      <x v="25"/>
    </i>
    <i>
      <x v="26"/>
      <x v="26"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>
      <x v="6"/>
    </i>
  </colItems>
  <dataFields count="1">
    <dataField name="Vraisemblance" fld="4" subtotal="max" baseField="1" baseItem="0"/>
  </dataFields>
  <formats count="18">
    <format dxfId="357">
      <pivotArea outline="0" collapsedLevelsAreSubtotals="1" fieldPosition="0"/>
    </format>
    <format dxfId="356">
      <pivotArea type="all" dataOnly="0" outline="0" fieldPosition="0"/>
    </format>
    <format dxfId="355">
      <pivotArea outline="0" collapsedLevelsAreSubtotals="1" fieldPosition="0"/>
    </format>
    <format dxfId="354">
      <pivotArea type="origin" dataOnly="0" labelOnly="1" outline="0" fieldPosition="0"/>
    </format>
    <format dxfId="353">
      <pivotArea field="0" type="button" dataOnly="0" labelOnly="1" outline="0" axis="axisCol" fieldPosition="0"/>
    </format>
    <format dxfId="352">
      <pivotArea type="topRight" dataOnly="0" labelOnly="1" outline="0" fieldPosition="0"/>
    </format>
    <format dxfId="351">
      <pivotArea field="1" type="button" dataOnly="0" labelOnly="1" outline="0" axis="axisRow" fieldPosition="1"/>
    </format>
    <format dxfId="350">
      <pivotArea dataOnly="0" labelOnly="1" fieldPosition="0">
        <references count="1">
          <reference field="1" count="0"/>
        </references>
      </pivotArea>
    </format>
    <format dxfId="349">
      <pivotArea dataOnly="0" labelOnly="1" fieldPosition="0">
        <references count="1">
          <reference field="0" count="0"/>
        </references>
      </pivotArea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0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1" type="button" dataOnly="0" labelOnly="1" outline="0" axis="axisRow" fieldPosition="1"/>
    </format>
    <format dxfId="342">
      <pivotArea dataOnly="0" labelOnly="1" fieldPosition="0">
        <references count="1">
          <reference field="1" count="0"/>
        </references>
      </pivotArea>
    </format>
    <format dxfId="341">
      <pivotArea dataOnly="0" labelOnly="1" fieldPosition="0">
        <references count="1">
          <reference field="0" count="0"/>
        </references>
      </pivotArea>
    </format>
    <format dxfId="340">
      <pivotArea dataOnly="0" labelOnly="1" fieldPosition="0">
        <references count="1">
          <reference field="0" count="0"/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>
      <members count="4" level="1">
        <member name="[Tableau_REF_SMSR].[Vrais Retenue].&amp;[1]"/>
        <member name="[Tableau_REF_SMSR].[Vrais Retenue].&amp;[2]"/>
        <member name="[Tableau_REF_SMSR].[Vrais Retenue].&amp;[3]"/>
        <member name="[Tableau_REF_SMSR].[Vrais Retenue].&amp;[4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raisemblanc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8"/>
    <rowHierarchyUsage hierarchyUsage="39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totype Outil rationalisation SSI_Pivot - New.xlsx!Tableau_REF_SMSR">
        <x15:activeTabTopLevelEntity name="[Tableau_REF_SMS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4DD05-0174-4F08-8729-3A7C2F1FEAC6}" name="Tableau croisé dynamique7" cacheId="22" applyNumberFormats="0" applyBorderFormats="0" applyFontFormats="0" applyPatternFormats="0" applyAlignmentFormats="0" applyWidthHeightFormats="1" dataCaption="Valeurs" tag="f62e9b33-81df-4dc2-b0ba-b5defd1c4a28" updatedVersion="6" minRefreshableVersion="3" showDrill="0" useAutoFormatting="1" subtotalHiddenItems="1" colGrandTotals="0" itemPrintTitles="1" createdVersion="6" indent="0" outline="1" outlineData="1" multipleFieldFilters="0" rowHeaderCaption="#MS">
  <location ref="B5:E41" firstHeaderRow="1" firstDataRow="1" firstDataCol="3"/>
  <pivotFields count="4">
    <pivotField axis="axisRow" allDrilled="1" outline="0" subtotalTop="0" showAll="0" sortType="ascending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name="Mesure applicable" axis="axisRow" allDrilled="1" outline="0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0"/>
    <field x="1"/>
    <field x="2"/>
  </rowFields>
  <rowItems count="36">
    <i>
      <x/>
      <x/>
      <x/>
    </i>
    <i>
      <x v="1"/>
      <x v="1"/>
      <x/>
    </i>
    <i>
      <x v="2"/>
      <x v="2"/>
      <x/>
    </i>
    <i>
      <x v="3"/>
      <x v="3"/>
      <x/>
    </i>
    <i>
      <x v="4"/>
      <x v="4"/>
      <x/>
    </i>
    <i>
      <x v="5"/>
      <x v="5"/>
      <x/>
    </i>
    <i>
      <x v="6"/>
      <x v="6"/>
      <x/>
    </i>
    <i>
      <x v="7"/>
      <x v="7"/>
      <x/>
    </i>
    <i>
      <x v="8"/>
      <x v="8"/>
      <x/>
    </i>
    <i>
      <x v="9"/>
      <x v="9"/>
      <x v="1"/>
    </i>
    <i>
      <x v="10"/>
      <x v="10"/>
      <x/>
    </i>
    <i>
      <x v="11"/>
      <x v="11"/>
      <x/>
    </i>
    <i>
      <x v="12"/>
      <x v="12"/>
      <x v="1"/>
    </i>
    <i>
      <x v="13"/>
      <x v="13"/>
      <x/>
    </i>
    <i>
      <x v="14"/>
      <x v="14"/>
      <x/>
    </i>
    <i>
      <x v="15"/>
      <x v="15"/>
      <x/>
    </i>
    <i>
      <x v="16"/>
      <x v="16"/>
      <x/>
    </i>
    <i>
      <x v="17"/>
      <x v="17"/>
      <x/>
    </i>
    <i>
      <x v="18"/>
      <x v="18"/>
      <x/>
    </i>
    <i>
      <x v="19"/>
      <x v="19"/>
      <x v="1"/>
    </i>
    <i>
      <x v="20"/>
      <x v="20"/>
      <x v="1"/>
    </i>
    <i>
      <x v="21"/>
      <x v="21"/>
      <x/>
    </i>
    <i>
      <x v="22"/>
      <x v="22"/>
      <x/>
    </i>
    <i>
      <x v="23"/>
      <x v="23"/>
      <x/>
    </i>
    <i>
      <x v="24"/>
      <x v="24"/>
      <x v="1"/>
    </i>
    <i>
      <x v="25"/>
      <x v="25"/>
      <x/>
    </i>
    <i>
      <x v="26"/>
      <x v="26"/>
      <x v="1"/>
    </i>
    <i>
      <x v="27"/>
      <x v="27"/>
      <x v="1"/>
    </i>
    <i>
      <x v="28"/>
      <x v="28"/>
      <x/>
    </i>
    <i>
      <x v="29"/>
      <x v="29"/>
      <x v="1"/>
    </i>
    <i>
      <x v="30"/>
      <x v="30"/>
      <x v="1"/>
    </i>
    <i>
      <x v="31"/>
      <x v="31"/>
      <x/>
    </i>
    <i>
      <x v="32"/>
      <x v="32"/>
      <x v="1"/>
    </i>
    <i>
      <x v="33"/>
      <x v="33"/>
      <x/>
    </i>
    <i>
      <x v="34"/>
      <x v="34"/>
      <x/>
    </i>
    <i t="grand">
      <x/>
    </i>
  </rowItems>
  <colItems count="1">
    <i/>
  </colItems>
  <dataFields count="1">
    <dataField name="TCO annuel" fld="3" baseField="0" baseItem="0" numFmtId="165"/>
  </dataFields>
  <formats count="175">
    <format dxfId="337">
      <pivotArea type="all" dataOnly="0" outline="0" fieldPosition="0"/>
    </format>
    <format dxfId="336">
      <pivotArea outline="0" collapsedLevelsAreSubtotals="1" fieldPosition="0"/>
    </format>
    <format dxfId="335">
      <pivotArea field="0" type="button" dataOnly="0" labelOnly="1" outline="0" axis="axisRow" fieldPosition="0"/>
    </format>
    <format dxfId="334">
      <pivotArea field="1" type="button" dataOnly="0" labelOnly="1" outline="0" axis="axisRow" fieldPosition="1"/>
    </format>
    <format dxfId="333">
      <pivotArea field="2" type="button" dataOnly="0" labelOnly="1" outline="0" axis="axisRow" fieldPosition="2"/>
    </format>
    <format dxfId="332">
      <pivotArea dataOnly="0" labelOnly="1" fieldPosition="0">
        <references count="1">
          <reference field="0" count="0"/>
        </references>
      </pivotArea>
    </format>
    <format dxfId="331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330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329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328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327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326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325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324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323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322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321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320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319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318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317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316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315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314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313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312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311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310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309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308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307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306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305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304">
      <pivotArea dataOnly="0" labelOnly="1" fieldPosition="0">
        <references count="2">
          <reference field="0" count="1" selected="0">
            <x v="27"/>
          </reference>
          <reference field="1" count="1">
            <x v="27"/>
          </reference>
        </references>
      </pivotArea>
    </format>
    <format dxfId="303">
      <pivotArea dataOnly="0" labelOnly="1" fieldPosition="0">
        <references count="2">
          <reference field="0" count="1" selected="0">
            <x v="28"/>
          </reference>
          <reference field="1" count="1">
            <x v="28"/>
          </reference>
        </references>
      </pivotArea>
    </format>
    <format dxfId="302">
      <pivotArea dataOnly="0" labelOnly="1" fieldPosition="0">
        <references count="2">
          <reference field="0" count="1" selected="0">
            <x v="29"/>
          </reference>
          <reference field="1" count="1">
            <x v="29"/>
          </reference>
        </references>
      </pivotArea>
    </format>
    <format dxfId="301">
      <pivotArea dataOnly="0" labelOnly="1" fieldPosition="0">
        <references count="2">
          <reference field="0" count="1" selected="0">
            <x v="30"/>
          </reference>
          <reference field="1" count="1">
            <x v="30"/>
          </reference>
        </references>
      </pivotArea>
    </format>
    <format dxfId="300">
      <pivotArea dataOnly="0" labelOnly="1" fieldPosition="0">
        <references count="2">
          <reference field="0" count="1" selected="0">
            <x v="31"/>
          </reference>
          <reference field="1" count="1">
            <x v="31"/>
          </reference>
        </references>
      </pivotArea>
    </format>
    <format dxfId="299">
      <pivotArea dataOnly="0" labelOnly="1" fieldPosition="0">
        <references count="2">
          <reference field="0" count="1" selected="0">
            <x v="32"/>
          </reference>
          <reference field="1" count="1">
            <x v="32"/>
          </reference>
        </references>
      </pivotArea>
    </format>
    <format dxfId="298">
      <pivotArea dataOnly="0" labelOnly="1" fieldPosition="0">
        <references count="2">
          <reference field="0" count="1" selected="0">
            <x v="33"/>
          </reference>
          <reference field="1" count="1">
            <x v="33"/>
          </reference>
        </references>
      </pivotArea>
    </format>
    <format dxfId="297">
      <pivotArea dataOnly="0" labelOnly="1" fieldPosition="0">
        <references count="2">
          <reference field="0" count="1" selected="0">
            <x v="34"/>
          </reference>
          <reference field="1" count="1">
            <x v="34"/>
          </reference>
        </references>
      </pivotArea>
    </format>
    <format dxfId="296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95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294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293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92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91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290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289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88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287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286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285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284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283">
      <pivotArea dataOnly="0" labelOnly="1" outline="0" axis="axisValues" fieldPosition="0"/>
    </format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0" type="button" dataOnly="0" labelOnly="1" outline="0" axis="axisRow" fieldPosition="0"/>
    </format>
    <format dxfId="279">
      <pivotArea field="1" type="button" dataOnly="0" labelOnly="1" outline="0" axis="axisRow" fieldPosition="1"/>
    </format>
    <format dxfId="278">
      <pivotArea dataOnly="0" labelOnly="1" fieldPosition="0">
        <references count="1">
          <reference field="0" count="0"/>
        </references>
      </pivotArea>
    </format>
    <format dxfId="277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276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275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274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273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272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271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270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269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268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267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266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265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264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263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262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261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260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259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258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257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256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255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254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253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252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251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250">
      <pivotArea dataOnly="0" labelOnly="1" fieldPosition="0">
        <references count="2">
          <reference field="0" count="1" selected="0">
            <x v="27"/>
          </reference>
          <reference field="1" count="1">
            <x v="27"/>
          </reference>
        </references>
      </pivotArea>
    </format>
    <format dxfId="249">
      <pivotArea dataOnly="0" labelOnly="1" fieldPosition="0">
        <references count="2">
          <reference field="0" count="1" selected="0">
            <x v="28"/>
          </reference>
          <reference field="1" count="1">
            <x v="28"/>
          </reference>
        </references>
      </pivotArea>
    </format>
    <format dxfId="248">
      <pivotArea dataOnly="0" labelOnly="1" fieldPosition="0">
        <references count="2">
          <reference field="0" count="1" selected="0">
            <x v="29"/>
          </reference>
          <reference field="1" count="1">
            <x v="29"/>
          </reference>
        </references>
      </pivotArea>
    </format>
    <format dxfId="247">
      <pivotArea dataOnly="0" labelOnly="1" fieldPosition="0">
        <references count="2">
          <reference field="0" count="1" selected="0">
            <x v="30"/>
          </reference>
          <reference field="1" count="1">
            <x v="30"/>
          </reference>
        </references>
      </pivotArea>
    </format>
    <format dxfId="246">
      <pivotArea dataOnly="0" labelOnly="1" fieldPosition="0">
        <references count="2">
          <reference field="0" count="1" selected="0">
            <x v="31"/>
          </reference>
          <reference field="1" count="1">
            <x v="31"/>
          </reference>
        </references>
      </pivotArea>
    </format>
    <format dxfId="245">
      <pivotArea dataOnly="0" labelOnly="1" fieldPosition="0">
        <references count="2">
          <reference field="0" count="1" selected="0">
            <x v="32"/>
          </reference>
          <reference field="1" count="1">
            <x v="32"/>
          </reference>
        </references>
      </pivotArea>
    </format>
    <format dxfId="244">
      <pivotArea dataOnly="0" labelOnly="1" fieldPosition="0">
        <references count="2">
          <reference field="0" count="1" selected="0">
            <x v="33"/>
          </reference>
          <reference field="1" count="1">
            <x v="33"/>
          </reference>
        </references>
      </pivotArea>
    </format>
    <format dxfId="243">
      <pivotArea dataOnly="0" labelOnly="1" fieldPosition="0">
        <references count="2">
          <reference field="0" count="1" selected="0">
            <x v="34"/>
          </reference>
          <reference field="1" count="1">
            <x v="34"/>
          </reference>
        </references>
      </pivotArea>
    </format>
    <format dxfId="242">
      <pivotArea dataOnly="0" labelOnly="1" outline="0" axis="axisValues" fieldPosition="0"/>
    </format>
    <format dxfId="241">
      <pivotArea outline="0" collapsedLevelsAreSubtotals="1" fieldPosition="0"/>
    </format>
    <format dxfId="240">
      <pivotArea field="2" type="button" dataOnly="0" labelOnly="1" outline="0" axis="axisRow" fieldPosition="2"/>
    </format>
    <format dxfId="239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238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237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236">
      <pivotArea dataOnly="0" labelOnly="1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235">
      <pivotArea dataOnly="0" labelOnly="1" fieldPosition="0">
        <references count="3">
          <reference field="0" count="1" selected="0">
            <x v="4"/>
          </reference>
          <reference field="1" count="1" selected="0">
            <x v="4"/>
          </reference>
          <reference field="2" count="1">
            <x v="0"/>
          </reference>
        </references>
      </pivotArea>
    </format>
    <format dxfId="234">
      <pivotArea dataOnly="0" labelOnly="1" fieldPosition="0">
        <references count="3">
          <reference field="0" count="1" selected="0">
            <x v="5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233">
      <pivotArea dataOnly="0" labelOnly="1" fieldPosition="0">
        <references count="3">
          <reference field="0" count="1" selected="0">
            <x v="6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232">
      <pivotArea dataOnly="0" labelOnly="1" fieldPosition="0">
        <references count="3">
          <reference field="0" count="1" selected="0">
            <x v="7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231">
      <pivotArea dataOnly="0" labelOnly="1" fieldPosition="0">
        <references count="3">
          <reference field="0" count="1" selected="0">
            <x v="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230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229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228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27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26">
      <pivotArea dataOnly="0" labelOnly="1" fieldPosition="0">
        <references count="3">
          <reference field="0" count="1" selected="0">
            <x v="13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225">
      <pivotArea dataOnly="0" labelOnly="1" fieldPosition="0">
        <references count="3">
          <reference field="0" count="1" selected="0">
            <x v="14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224">
      <pivotArea dataOnly="0" labelOnly="1" fieldPosition="0">
        <references count="3">
          <reference field="0" count="1" selected="0">
            <x v="15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223">
      <pivotArea dataOnly="0" labelOnly="1" fieldPosition="0">
        <references count="3">
          <reference field="0" count="1" selected="0">
            <x v="1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222">
      <pivotArea dataOnly="0" labelOnly="1" fieldPosition="0">
        <references count="3">
          <reference field="0" count="1" selected="0">
            <x v="17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221">
      <pivotArea dataOnly="0" labelOnly="1" fieldPosition="0">
        <references count="3">
          <reference field="0" count="1" selected="0">
            <x v="1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220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219">
      <pivotArea dataOnly="0" labelOnly="1" fieldPosition="0">
        <references count="3">
          <reference field="0" count="1" selected="0">
            <x v="20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218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217">
      <pivotArea dataOnly="0" labelOnly="1" fieldPosition="0">
        <references count="3">
          <reference field="0" count="1" selected="0">
            <x v="2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216">
      <pivotArea dataOnly="0" labelOnly="1" fieldPosition="0">
        <references count="3">
          <reference field="0" count="1" selected="0">
            <x v="23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215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14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213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212">
      <pivotArea dataOnly="0" labelOnly="1" fieldPosition="0">
        <references count="3">
          <reference field="0" count="1" selected="0">
            <x v="27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211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210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209">
      <pivotArea dataOnly="0" labelOnly="1" fieldPosition="0">
        <references count="3">
          <reference field="0" count="1" selected="0">
            <x v="30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208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207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206">
      <pivotArea dataOnly="0" labelOnly="1" fieldPosition="0">
        <references count="3">
          <reference field="0" count="1" selected="0">
            <x v="3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205">
      <pivotArea dataOnly="0" labelOnly="1" fieldPosition="0">
        <references count="3">
          <reference field="0" count="1" selected="0">
            <x v="34"/>
          </reference>
          <reference field="1" count="1" selected="0">
            <x v="34"/>
          </reference>
          <reference field="2" count="1">
            <x v="0"/>
          </reference>
        </references>
      </pivotArea>
    </format>
    <format dxfId="204">
      <pivotArea field="2" type="button" dataOnly="0" labelOnly="1" outline="0" axis="axisRow" fieldPosition="2"/>
    </format>
    <format dxfId="203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1"/>
          </reference>
        </references>
      </pivotArea>
    </format>
    <format dxfId="202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0"/>
          </reference>
        </references>
      </pivotArea>
    </format>
    <format dxfId="201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1"/>
          </reference>
        </references>
      </pivotArea>
    </format>
    <format dxfId="200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0"/>
          </reference>
        </references>
      </pivotArea>
    </format>
    <format dxfId="199">
      <pivotArea dataOnly="0" labelOnly="1" outline="0" fieldPosition="0">
        <references count="1">
          <reference field="1" count="0"/>
        </references>
      </pivotArea>
    </format>
    <format dxfId="198">
      <pivotArea dataOnly="0" labelOnly="1" outline="0" fieldPosition="0">
        <references count="1">
          <reference field="1" count="0"/>
        </references>
      </pivotArea>
    </format>
    <format dxfId="197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96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195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0"/>
          </reference>
        </references>
      </pivotArea>
    </format>
    <format dxfId="194">
      <pivotArea dataOnly="0" labelOnly="1" fieldPosition="0">
        <references count="3">
          <reference field="0" count="1" selected="0">
            <x v="3"/>
          </reference>
          <reference field="1" count="1" selected="0">
            <x v="3"/>
          </reference>
          <reference field="2" count="1">
            <x v="0"/>
          </reference>
        </references>
      </pivotArea>
    </format>
    <format dxfId="193">
      <pivotArea dataOnly="0" labelOnly="1" fieldPosition="0">
        <references count="3">
          <reference field="0" count="1" selected="0">
            <x v="4"/>
          </reference>
          <reference field="1" count="1" selected="0">
            <x v="4"/>
          </reference>
          <reference field="2" count="1">
            <x v="0"/>
          </reference>
        </references>
      </pivotArea>
    </format>
    <format dxfId="192">
      <pivotArea dataOnly="0" labelOnly="1" fieldPosition="0">
        <references count="3">
          <reference field="0" count="1" selected="0">
            <x v="5"/>
          </reference>
          <reference field="1" count="1" selected="0">
            <x v="5"/>
          </reference>
          <reference field="2" count="1">
            <x v="0"/>
          </reference>
        </references>
      </pivotArea>
    </format>
    <format dxfId="191">
      <pivotArea dataOnly="0" labelOnly="1" fieldPosition="0">
        <references count="3">
          <reference field="0" count="1" selected="0">
            <x v="6"/>
          </reference>
          <reference field="1" count="1" selected="0">
            <x v="6"/>
          </reference>
          <reference field="2" count="1">
            <x v="0"/>
          </reference>
        </references>
      </pivotArea>
    </format>
    <format dxfId="190">
      <pivotArea dataOnly="0" labelOnly="1" fieldPosition="0">
        <references count="3">
          <reference field="0" count="1" selected="0">
            <x v="7"/>
          </reference>
          <reference field="1" count="1" selected="0">
            <x v="7"/>
          </reference>
          <reference field="2" count="1">
            <x v="0"/>
          </reference>
        </references>
      </pivotArea>
    </format>
    <format dxfId="189">
      <pivotArea dataOnly="0" labelOnly="1" fieldPosition="0">
        <references count="3">
          <reference field="0" count="1" selected="0">
            <x v="8"/>
          </reference>
          <reference field="1" count="1" selected="0">
            <x v="8"/>
          </reference>
          <reference field="2" count="1">
            <x v="0"/>
          </reference>
        </references>
      </pivotArea>
    </format>
    <format dxfId="188">
      <pivotArea dataOnly="0" labelOnly="1" fieldPosition="0">
        <references count="3">
          <reference field="0" count="1" selected="0">
            <x v="9"/>
          </reference>
          <reference field="1" count="1" selected="0">
            <x v="9"/>
          </reference>
          <reference field="2" count="1">
            <x v="1"/>
          </reference>
        </references>
      </pivotArea>
    </format>
    <format dxfId="187">
      <pivotArea dataOnly="0" labelOnly="1" fieldPosition="0">
        <references count="3">
          <reference field="0" count="1" selected="0">
            <x v="10"/>
          </reference>
          <reference field="1" count="1" selected="0">
            <x v="10"/>
          </reference>
          <reference field="2" count="1">
            <x v="0"/>
          </reference>
        </references>
      </pivotArea>
    </format>
    <format dxfId="186">
      <pivotArea dataOnly="0" labelOnly="1" fieldPosition="0">
        <references count="3">
          <reference field="0" count="1" selected="0">
            <x v="11"/>
          </reference>
          <reference field="1" count="1" selected="0">
            <x v="11"/>
          </reference>
          <reference field="2" count="1">
            <x v="0"/>
          </reference>
        </references>
      </pivotArea>
    </format>
    <format dxfId="185">
      <pivotArea dataOnly="0" labelOnly="1" fieldPosition="0">
        <references count="3">
          <reference field="0" count="1" selected="0">
            <x v="12"/>
          </reference>
          <reference field="1" count="1" selected="0">
            <x v="12"/>
          </reference>
          <reference field="2" count="1">
            <x v="1"/>
          </reference>
        </references>
      </pivotArea>
    </format>
    <format dxfId="184">
      <pivotArea dataOnly="0" labelOnly="1" fieldPosition="0">
        <references count="3">
          <reference field="0" count="1" selected="0">
            <x v="13"/>
          </reference>
          <reference field="1" count="1" selected="0">
            <x v="13"/>
          </reference>
          <reference field="2" count="1">
            <x v="0"/>
          </reference>
        </references>
      </pivotArea>
    </format>
    <format dxfId="183">
      <pivotArea dataOnly="0" labelOnly="1" fieldPosition="0">
        <references count="3">
          <reference field="0" count="1" selected="0">
            <x v="14"/>
          </reference>
          <reference field="1" count="1" selected="0">
            <x v="14"/>
          </reference>
          <reference field="2" count="1">
            <x v="0"/>
          </reference>
        </references>
      </pivotArea>
    </format>
    <format dxfId="182">
      <pivotArea dataOnly="0" labelOnly="1" fieldPosition="0">
        <references count="3">
          <reference field="0" count="1" selected="0">
            <x v="15"/>
          </reference>
          <reference field="1" count="1" selected="0">
            <x v="15"/>
          </reference>
          <reference field="2" count="1">
            <x v="0"/>
          </reference>
        </references>
      </pivotArea>
    </format>
    <format dxfId="181">
      <pivotArea dataOnly="0" labelOnly="1" fieldPosition="0">
        <references count="3">
          <reference field="0" count="1" selected="0">
            <x v="16"/>
          </reference>
          <reference field="1" count="1" selected="0">
            <x v="16"/>
          </reference>
          <reference field="2" count="1">
            <x v="0"/>
          </reference>
        </references>
      </pivotArea>
    </format>
    <format dxfId="180">
      <pivotArea dataOnly="0" labelOnly="1" fieldPosition="0">
        <references count="3">
          <reference field="0" count="1" selected="0">
            <x v="17"/>
          </reference>
          <reference field="1" count="1" selected="0">
            <x v="17"/>
          </reference>
          <reference field="2" count="1">
            <x v="0"/>
          </reference>
        </references>
      </pivotArea>
    </format>
    <format dxfId="179">
      <pivotArea dataOnly="0" labelOnly="1" fieldPosition="0">
        <references count="3">
          <reference field="0" count="1" selected="0">
            <x v="18"/>
          </reference>
          <reference field="1" count="1" selected="0">
            <x v="18"/>
          </reference>
          <reference field="2" count="1">
            <x v="0"/>
          </reference>
        </references>
      </pivotArea>
    </format>
    <format dxfId="178">
      <pivotArea dataOnly="0" labelOnly="1" fieldPosition="0">
        <references count="3">
          <reference field="0" count="1" selected="0">
            <x v="19"/>
          </reference>
          <reference field="1" count="1" selected="0">
            <x v="19"/>
          </reference>
          <reference field="2" count="1">
            <x v="1"/>
          </reference>
        </references>
      </pivotArea>
    </format>
    <format dxfId="177">
      <pivotArea dataOnly="0" labelOnly="1" fieldPosition="0">
        <references count="3">
          <reference field="0" count="1" selected="0">
            <x v="20"/>
          </reference>
          <reference field="1" count="1" selected="0">
            <x v="20"/>
          </reference>
          <reference field="2" count="1">
            <x v="1"/>
          </reference>
        </references>
      </pivotArea>
    </format>
    <format dxfId="176">
      <pivotArea dataOnly="0" labelOnly="1" fieldPosition="0">
        <references count="3">
          <reference field="0" count="1" selected="0">
            <x v="21"/>
          </reference>
          <reference field="1" count="1" selected="0">
            <x v="21"/>
          </reference>
          <reference field="2" count="1">
            <x v="0"/>
          </reference>
        </references>
      </pivotArea>
    </format>
    <format dxfId="175">
      <pivotArea dataOnly="0" labelOnly="1" fieldPosition="0">
        <references count="3">
          <reference field="0" count="1" selected="0">
            <x v="22"/>
          </reference>
          <reference field="1" count="1" selected="0">
            <x v="22"/>
          </reference>
          <reference field="2" count="1">
            <x v="0"/>
          </reference>
        </references>
      </pivotArea>
    </format>
    <format dxfId="174">
      <pivotArea dataOnly="0" labelOnly="1" fieldPosition="0">
        <references count="3">
          <reference field="0" count="1" selected="0">
            <x v="23"/>
          </reference>
          <reference field="1" count="1" selected="0">
            <x v="23"/>
          </reference>
          <reference field="2" count="1">
            <x v="0"/>
          </reference>
        </references>
      </pivotArea>
    </format>
    <format dxfId="173">
      <pivotArea dataOnly="0" labelOnly="1" fieldPosition="0">
        <references count="3">
          <reference field="0" count="1" selected="0">
            <x v="24"/>
          </reference>
          <reference field="1" count="1" selected="0">
            <x v="24"/>
          </reference>
          <reference field="2" count="1">
            <x v="0"/>
          </reference>
        </references>
      </pivotArea>
    </format>
    <format dxfId="172">
      <pivotArea dataOnly="0" labelOnly="1" fieldPosition="0">
        <references count="3">
          <reference field="0" count="1" selected="0">
            <x v="25"/>
          </reference>
          <reference field="1" count="1" selected="0">
            <x v="25"/>
          </reference>
          <reference field="2" count="1">
            <x v="0"/>
          </reference>
        </references>
      </pivotArea>
    </format>
    <format dxfId="171">
      <pivotArea dataOnly="0" labelOnly="1" fieldPosition="0">
        <references count="3">
          <reference field="0" count="1" selected="0">
            <x v="26"/>
          </reference>
          <reference field="1" count="1" selected="0">
            <x v="26"/>
          </reference>
          <reference field="2" count="1">
            <x v="1"/>
          </reference>
        </references>
      </pivotArea>
    </format>
    <format dxfId="170">
      <pivotArea dataOnly="0" labelOnly="1" fieldPosition="0">
        <references count="3">
          <reference field="0" count="1" selected="0">
            <x v="27"/>
          </reference>
          <reference field="1" count="1" selected="0">
            <x v="27"/>
          </reference>
          <reference field="2" count="1">
            <x v="1"/>
          </reference>
        </references>
      </pivotArea>
    </format>
    <format dxfId="169">
      <pivotArea dataOnly="0" labelOnly="1" fieldPosition="0">
        <references count="3">
          <reference field="0" count="1" selected="0">
            <x v="28"/>
          </reference>
          <reference field="1" count="1" selected="0">
            <x v="28"/>
          </reference>
          <reference field="2" count="1">
            <x v="0"/>
          </reference>
        </references>
      </pivotArea>
    </format>
    <format dxfId="168">
      <pivotArea dataOnly="0" labelOnly="1" fieldPosition="0">
        <references count="3">
          <reference field="0" count="1" selected="0">
            <x v="29"/>
          </reference>
          <reference field="1" count="1" selected="0">
            <x v="29"/>
          </reference>
          <reference field="2" count="1">
            <x v="1"/>
          </reference>
        </references>
      </pivotArea>
    </format>
    <format dxfId="167">
      <pivotArea dataOnly="0" labelOnly="1" fieldPosition="0">
        <references count="3">
          <reference field="0" count="1" selected="0">
            <x v="30"/>
          </reference>
          <reference field="1" count="1" selected="0">
            <x v="30"/>
          </reference>
          <reference field="2" count="1">
            <x v="1"/>
          </reference>
        </references>
      </pivotArea>
    </format>
    <format dxfId="166">
      <pivotArea dataOnly="0" labelOnly="1" fieldPosition="0">
        <references count="3">
          <reference field="0" count="1" selected="0">
            <x v="31"/>
          </reference>
          <reference field="1" count="1" selected="0">
            <x v="31"/>
          </reference>
          <reference field="2" count="1">
            <x v="0"/>
          </reference>
        </references>
      </pivotArea>
    </format>
    <format dxfId="165">
      <pivotArea dataOnly="0" labelOnly="1" fieldPosition="0">
        <references count="3">
          <reference field="0" count="1" selected="0">
            <x v="32"/>
          </reference>
          <reference field="1" count="1" selected="0">
            <x v="32"/>
          </reference>
          <reference field="2" count="1">
            <x v="1"/>
          </reference>
        </references>
      </pivotArea>
    </format>
    <format dxfId="164">
      <pivotArea dataOnly="0" labelOnly="1" fieldPosition="0">
        <references count="3">
          <reference field="0" count="1" selected="0">
            <x v="33"/>
          </reference>
          <reference field="1" count="1" selected="0">
            <x v="33"/>
          </reference>
          <reference field="2" count="1">
            <x v="0"/>
          </reference>
        </references>
      </pivotArea>
    </format>
    <format dxfId="163">
      <pivotArea dataOnly="0" labelOnly="1" fieldPosition="0">
        <references count="3">
          <reference field="0" count="1" selected="0">
            <x v="34"/>
          </reference>
          <reference field="1" count="1" selected="0">
            <x v="34"/>
          </reference>
          <reference field="2" count="1">
            <x v="0"/>
          </reference>
        </references>
      </pivotArea>
    </format>
  </formats>
  <pivotHierarchies count="81">
    <pivotHierarchy multipleItemSelectionAllowed="1" dragToData="1"/>
    <pivotHierarchy dragToData="1"/>
    <pivotHierarchy multipleItemSelectionAllowed="1" dragToData="1" caption="Mesure applicabl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TCO annu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0"/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ototype Outil rationalisation SSI_Pivot - New.xlsx!Tableau_REF_Mesures">
        <x15:activeTabTopLevelEntity name="[Tableau_REF_Mesu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B8044-1A1E-4455-A8AD-EF35A51A39CE}" name="Tableau croisé dynamique2" cacheId="23" applyNumberFormats="0" applyBorderFormats="0" applyFontFormats="0" applyPatternFormats="0" applyAlignmentFormats="0" applyWidthHeightFormats="1" dataCaption="Valeurs" updatedVersion="6" minRefreshableVersion="3" showDrill="0" useAutoFormatting="1" rowGrandTotals="0" colGrandTotals="0" itemPrintTitles="1" createdVersion="6" indent="0" showHeaders="0" outline="1" outlineData="1" multipleFieldFilters="0">
  <location ref="C54:M55" firstHeaderRow="0" firstDataRow="1" firstDataCol="1"/>
  <pivotFields count="6">
    <pivotField axis="axisCol" showAll="0">
      <items count="11">
        <item x="9"/>
        <item x="8"/>
        <item x="0"/>
        <item x="3"/>
        <item x="1"/>
        <item x="2"/>
        <item x="6"/>
        <item x="4"/>
        <item x="5"/>
        <item x="7"/>
        <item t="default"/>
      </items>
    </pivotField>
    <pivotField numFmtId="9" showAll="0"/>
    <pivotField numFmtId="9" showAll="0"/>
    <pivotField numFmtId="9" showAll="0"/>
    <pivotField dataField="1" numFmtId="9" showAll="0"/>
    <pivotField showAll="0"/>
  </pivotFields>
  <rowItems count="1">
    <i/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Recouvrement des mesures avec TECH1A" fld="4" baseField="0" baseItem="0"/>
  </dataFields>
  <formats count="1">
    <format dxfId="3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43B96-C526-42D4-B9B7-246C0E96E471}" name="Tableau croisé dynamique1" cacheId="23" applyNumberFormats="0" applyBorderFormats="0" applyFontFormats="0" applyPatternFormats="0" applyAlignmentFormats="0" applyWidthHeightFormats="1" dataCaption="Valeurs" updatedVersion="6" minRefreshableVersion="3" showDrill="0" useAutoFormatting="1" rowGrandTotals="0" colGrandTotals="0" itemPrintTitles="1" createdVersion="6" indent="0" showHeaders="0" outline="1" outlineData="1" multipleFieldFilters="0">
  <location ref="C50:M51" firstHeaderRow="0" firstDataRow="1" firstDataCol="1"/>
  <pivotFields count="6">
    <pivotField axis="axisCol" showAll="0">
      <items count="11">
        <item x="9"/>
        <item x="8"/>
        <item x="0"/>
        <item x="3"/>
        <item x="1"/>
        <item x="2"/>
        <item x="6"/>
        <item x="4"/>
        <item x="5"/>
        <item x="7"/>
        <item t="default"/>
      </items>
    </pivotField>
    <pivotField numFmtId="9" showAll="0"/>
    <pivotField numFmtId="9" showAll="0"/>
    <pivotField dataField="1" numFmtId="9" showAll="0"/>
    <pivotField numFmtId="9" showAll="0"/>
    <pivotField showAll="0"/>
  </pivotFields>
  <rowItems count="1">
    <i/>
  </rowItems>
  <colFields count="1">
    <field x="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Recouvrement des mesures avec TECH1I" fld="3" baseField="0" baseItem="0"/>
  </dataFields>
  <formats count="1">
    <format dxfId="3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0C982-41E4-4D11-ACAE-A4ADC84A5F02}" name="Tableau croisé dynamique16" cacheId="26" applyNumberFormats="0" applyBorderFormats="0" applyFontFormats="0" applyPatternFormats="0" applyAlignmentFormats="0" applyWidthHeightFormats="1" dataCaption="Valeurs" tag="88c64151-aeea-49c0-ac51-9c03d8c23a13" updatedVersion="6" minRefreshableVersion="3" showDrill="0" useAutoFormatting="1" itemPrintTitles="1" createdVersion="6" indent="0" showHeaders="0" outline="1" outlineData="1" multipleFieldFilters="0" chartFormat="1">
  <location ref="B83:AE119" firstHeaderRow="1" firstDataRow="2" firstDataCol="2"/>
  <pivotFields count="5">
    <pivotField axis="axisRow" allDrilled="1" outline="0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xis="axisCol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llDrilled="1" subtotalTop="0" showAll="0" dataSourceSort="1" defaultSubtotal="0" defaultAttributeDrillState="1"/>
  </pivotFields>
  <rowFields count="2">
    <field x="0"/>
    <field x="3"/>
  </rowFields>
  <rowItems count="35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 t="grand">
      <x/>
    </i>
  </rowItems>
  <colFields count="1">
    <field x="1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omme de Cout couverture" fld="2" baseField="0" baseItem="0" numFmtId="166"/>
  </dataFields>
  <formats count="3">
    <format dxfId="86">
      <pivotArea outline="0" collapsedLevelsAreSubtotals="1" fieldPosition="0"/>
    </format>
    <format dxfId="85">
      <pivotArea outline="0" collapsedLevelsAreSubtotals="1" fieldPosition="0"/>
    </format>
    <format dxfId="84">
      <pivotArea outline="0" collapsedLevelsAreSubtotals="1" fieldPosition="0"/>
    </format>
  </formats>
  <pivotHierarchies count="81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3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au_REF_SMMS]"/>
        <x15:activeTabTopLevelEntity name="[Tableau_REF_Mesures]"/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FE1CB-FFD0-4806-96A7-59DB7F2AF892}" name="Tableau croisé dynamique15" cacheId="25" applyNumberFormats="0" applyBorderFormats="0" applyFontFormats="0" applyPatternFormats="0" applyAlignmentFormats="0" applyWidthHeightFormats="1" dataCaption="Valeurs" tag="ded99e3b-3cd0-46d5-bf19-a46c57f35e75" updatedVersion="6" minRefreshableVersion="3" showDrill="0" useAutoFormatting="1" colGrandTotals="0" itemPrintTitles="1" createdVersion="6" indent="0" showHeaders="0" outline="1" outlineData="1" multipleFieldFilters="0">
  <location ref="B44:AD81" firstHeaderRow="1" firstDataRow="2" firstDataCol="2"/>
  <pivotFields count="5">
    <pivotField axis="axisCol" allDrilled="1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xis="axisRow" allDrilled="1" outline="0" subtotalTop="0" showAll="0" dataSourceSort="1" defaultSubtotal="0" defaultAttributeDrillState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allDrilled="1" subtotalTop="0" showAll="0" dataSourceSort="1" defaultSubtotal="0" defaultAttributeDrillState="1"/>
  </pivotFields>
  <rowFields count="2">
    <field x="3"/>
    <field x="2"/>
  </rowFields>
  <rowItems count="36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  <i>
      <x v="26"/>
      <x v="26"/>
    </i>
    <i>
      <x v="27"/>
      <x v="27"/>
    </i>
    <i>
      <x v="28"/>
      <x v="28"/>
    </i>
    <i>
      <x v="29"/>
      <x v="29"/>
    </i>
    <i>
      <x v="30"/>
      <x v="30"/>
    </i>
    <i>
      <x v="31"/>
      <x v="31"/>
    </i>
    <i>
      <x v="32"/>
      <x v="32"/>
    </i>
    <i>
      <x v="33"/>
      <x v="33"/>
    </i>
    <i>
      <x v="34"/>
      <x v="34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 " fld="1" baseField="2" baseItem="0" numFmtId="9"/>
  </dataFields>
  <formats count="5">
    <format dxfId="91">
      <pivotArea field="2" grandCol="1" outline="0" collapsedLevelsAreSubtotals="1" axis="axisRow" fieldPosition="1">
        <references count="1">
          <reference field="2" count="1" selected="0">
            <x v="5"/>
          </reference>
        </references>
      </pivotArea>
    </format>
    <format dxfId="90">
      <pivotArea outline="0" collapsedLevelsAreSubtotals="1" fieldPosition="0">
        <references count="2">
          <reference field="0" count="1" selected="0">
            <x v="0"/>
          </reference>
          <reference field="2" count="3" selected="0">
            <x v="0"/>
            <x v="1"/>
            <x v="4"/>
          </reference>
        </references>
      </pivotArea>
    </format>
    <format dxfId="89">
      <pivotArea outline="0" collapsedLevelsAreSubtotals="1" fieldPosition="0"/>
    </format>
    <format dxfId="88">
      <pivotArea outline="0" collapsedLevelsAreSubtotals="1" fieldPosition="0"/>
    </format>
    <format dxfId="87">
      <pivotArea outline="0" collapsedLevelsAreSubtotals="1" fieldPosition="0"/>
    </format>
  </formats>
  <pivotHierarchies count="81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3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au_REF_SMMS]"/>
        <x15:activeTabTopLevelEntity name="[Tableau_REF_Mesures]"/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FF080-3C35-4C37-83E1-6AEC0FEB0B0D}" name="Tableau croisé dynamique14" cacheId="24" applyNumberFormats="0" applyBorderFormats="0" applyFontFormats="0" applyPatternFormats="0" applyAlignmentFormats="0" applyWidthHeightFormats="1" dataCaption="Valeurs" tag="197fa046-e816-4e9f-a6b1-8965787554a5" updatedVersion="6" minRefreshableVersion="3" showDrill="0" useAutoFormatting="1" subtotalHiddenItems="1" rowGrandTotals="0" colGrandTotals="0" itemPrintTitles="1" createdVersion="6" indent="0" outline="1" outlineData="1" multipleFieldFilters="0" rowHeaderCaption="#SM">
  <location ref="B14:H41" firstHeaderRow="0" firstDataRow="1" firstDataCol="4"/>
  <pivotFields count="8"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name="Niveau risque rés" axis="axisRow" allDrilled="1" outline="0" subtotalTop="0" showAll="0" dataSourceSort="1" defaultSubtotal="0" defaultAttributeDrillState="1">
      <items count="2">
        <item x="0"/>
        <item x="1"/>
      </items>
    </pivotField>
    <pivotField name="Niveau risque initial" axis="axisRow" allDrilled="1" outline="0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4">
    <field x="0"/>
    <field x="1"/>
    <field x="6"/>
    <field x="5"/>
  </rowFields>
  <rowItems count="27">
    <i>
      <x/>
      <x/>
      <x/>
      <x/>
    </i>
    <i>
      <x v="1"/>
      <x v="1"/>
      <x v="1"/>
      <x/>
    </i>
    <i>
      <x v="2"/>
      <x v="2"/>
      <x/>
      <x/>
    </i>
    <i>
      <x v="3"/>
      <x v="3"/>
      <x/>
      <x/>
    </i>
    <i>
      <x v="4"/>
      <x v="4"/>
      <x/>
      <x/>
    </i>
    <i>
      <x v="5"/>
      <x v="5"/>
      <x v="1"/>
      <x/>
    </i>
    <i>
      <x v="6"/>
      <x v="6"/>
      <x v="1"/>
      <x/>
    </i>
    <i>
      <x v="7"/>
      <x v="7"/>
      <x v="1"/>
      <x/>
    </i>
    <i>
      <x v="8"/>
      <x v="8"/>
      <x v="1"/>
      <x v="1"/>
    </i>
    <i>
      <x v="9"/>
      <x v="9"/>
      <x v="1"/>
      <x/>
    </i>
    <i>
      <x v="10"/>
      <x v="10"/>
      <x v="1"/>
      <x/>
    </i>
    <i>
      <x v="11"/>
      <x v="11"/>
      <x v="1"/>
      <x/>
    </i>
    <i>
      <x v="12"/>
      <x v="12"/>
      <x v="1"/>
      <x/>
    </i>
    <i>
      <x v="13"/>
      <x v="13"/>
      <x v="1"/>
      <x/>
    </i>
    <i>
      <x v="14"/>
      <x v="14"/>
      <x v="1"/>
      <x/>
    </i>
    <i>
      <x v="15"/>
      <x v="15"/>
      <x v="1"/>
      <x/>
    </i>
    <i>
      <x v="16"/>
      <x v="16"/>
      <x v="1"/>
      <x/>
    </i>
    <i>
      <x v="17"/>
      <x v="17"/>
      <x v="1"/>
      <x/>
    </i>
    <i>
      <x v="18"/>
      <x v="18"/>
      <x v="1"/>
      <x/>
    </i>
    <i>
      <x v="19"/>
      <x v="19"/>
      <x/>
      <x/>
    </i>
    <i>
      <x v="20"/>
      <x v="20"/>
      <x v="1"/>
      <x/>
    </i>
    <i>
      <x v="21"/>
      <x v="21"/>
      <x v="1"/>
      <x/>
    </i>
    <i>
      <x v="22"/>
      <x v="22"/>
      <x v="1"/>
      <x/>
    </i>
    <i>
      <x v="23"/>
      <x v="23"/>
      <x v="1"/>
      <x v="1"/>
    </i>
    <i>
      <x v="24"/>
      <x v="24"/>
      <x v="1"/>
      <x/>
    </i>
    <i>
      <x v="25"/>
      <x v="25"/>
      <x v="1"/>
      <x/>
    </i>
    <i>
      <x v="26"/>
      <x v="26"/>
      <x v="1"/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Gravité ER associé" fld="3" baseField="5" baseItem="0"/>
    <dataField name="Taux couv" fld="4" baseField="1" baseItem="0" numFmtId="9"/>
    <dataField name="Coût MS" fld="2" subtotal="max" baseField="1" baseItem="0" numFmtId="166"/>
  </dataFields>
  <formats count="69">
    <format dxfId="16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5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field="0" type="button" dataOnly="0" labelOnly="1" outline="0" axis="axisRow" fieldPosition="0"/>
    </format>
    <format dxfId="155">
      <pivotArea field="1" type="button" dataOnly="0" labelOnly="1" outline="0" axis="axisRow" fieldPosition="1"/>
    </format>
    <format dxfId="154">
      <pivotArea dataOnly="0" labelOnly="1" fieldPosition="0">
        <references count="1">
          <reference field="0" count="0"/>
        </references>
      </pivotArea>
    </format>
    <format dxfId="153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52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151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150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49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148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147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146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145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144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143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142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141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140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139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138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137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136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135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134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133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132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131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130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129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128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127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126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0" type="button" dataOnly="0" labelOnly="1" outline="0" axis="axisRow" fieldPosition="0"/>
    </format>
    <format dxfId="122">
      <pivotArea field="1" type="button" dataOnly="0" labelOnly="1" outline="0" axis="axisRow" fieldPosition="1"/>
    </format>
    <format dxfId="121">
      <pivotArea dataOnly="0" labelOnly="1" fieldPosition="0">
        <references count="1">
          <reference field="0" count="0"/>
        </references>
      </pivotArea>
    </format>
    <format dxfId="120">
      <pivotArea dataOnly="0" labelOnly="1" fieldPosition="0">
        <references count="2">
          <reference field="0" count="1" selected="0">
            <x v="0"/>
          </reference>
          <reference field="1" count="1">
            <x v="0"/>
          </reference>
        </references>
      </pivotArea>
    </format>
    <format dxfId="119">
      <pivotArea dataOnly="0" labelOnly="1" fieldPosition="0">
        <references count="2">
          <reference field="0" count="1" selected="0">
            <x v="1"/>
          </reference>
          <reference field="1" count="1">
            <x v="1"/>
          </reference>
        </references>
      </pivotArea>
    </format>
    <format dxfId="118">
      <pivotArea dataOnly="0" labelOnly="1" fieldPosition="0">
        <references count="2">
          <reference field="0" count="1" selected="0">
            <x v="2"/>
          </reference>
          <reference field="1" count="1">
            <x v="2"/>
          </reference>
        </references>
      </pivotArea>
    </format>
    <format dxfId="117">
      <pivotArea dataOnly="0" labelOnly="1" fieldPosition="0">
        <references count="2">
          <reference field="0" count="1" selected="0">
            <x v="3"/>
          </reference>
          <reference field="1" count="1">
            <x v="3"/>
          </reference>
        </references>
      </pivotArea>
    </format>
    <format dxfId="116">
      <pivotArea dataOnly="0" labelOnly="1" fieldPosition="0">
        <references count="2">
          <reference field="0" count="1" selected="0">
            <x v="4"/>
          </reference>
          <reference field="1" count="1">
            <x v="4"/>
          </reference>
        </references>
      </pivotArea>
    </format>
    <format dxfId="115">
      <pivotArea dataOnly="0" labelOnly="1" fieldPosition="0">
        <references count="2">
          <reference field="0" count="1" selected="0">
            <x v="5"/>
          </reference>
          <reference field="1" count="1">
            <x v="5"/>
          </reference>
        </references>
      </pivotArea>
    </format>
    <format dxfId="114">
      <pivotArea dataOnly="0" labelOnly="1" fieldPosition="0">
        <references count="2">
          <reference field="0" count="1" selected="0">
            <x v="6"/>
          </reference>
          <reference field="1" count="1">
            <x v="6"/>
          </reference>
        </references>
      </pivotArea>
    </format>
    <format dxfId="113">
      <pivotArea dataOnly="0" labelOnly="1" fieldPosition="0">
        <references count="2">
          <reference field="0" count="1" selected="0">
            <x v="7"/>
          </reference>
          <reference field="1" count="1">
            <x v="7"/>
          </reference>
        </references>
      </pivotArea>
    </format>
    <format dxfId="112">
      <pivotArea dataOnly="0" labelOnly="1" fieldPosition="0">
        <references count="2">
          <reference field="0" count="1" selected="0">
            <x v="8"/>
          </reference>
          <reference field="1" count="1">
            <x v="8"/>
          </reference>
        </references>
      </pivotArea>
    </format>
    <format dxfId="111">
      <pivotArea dataOnly="0" labelOnly="1" fieldPosition="0">
        <references count="2">
          <reference field="0" count="1" selected="0">
            <x v="9"/>
          </reference>
          <reference field="1" count="1">
            <x v="9"/>
          </reference>
        </references>
      </pivotArea>
    </format>
    <format dxfId="110">
      <pivotArea dataOnly="0" labelOnly="1" fieldPosition="0">
        <references count="2">
          <reference field="0" count="1" selected="0">
            <x v="10"/>
          </reference>
          <reference field="1" count="1">
            <x v="10"/>
          </reference>
        </references>
      </pivotArea>
    </format>
    <format dxfId="109">
      <pivotArea dataOnly="0" labelOnly="1" fieldPosition="0">
        <references count="2">
          <reference field="0" count="1" selected="0">
            <x v="11"/>
          </reference>
          <reference field="1" count="1">
            <x v="11"/>
          </reference>
        </references>
      </pivotArea>
    </format>
    <format dxfId="108">
      <pivotArea dataOnly="0" labelOnly="1" fieldPosition="0">
        <references count="2">
          <reference field="0" count="1" selected="0">
            <x v="12"/>
          </reference>
          <reference field="1" count="1">
            <x v="12"/>
          </reference>
        </references>
      </pivotArea>
    </format>
    <format dxfId="107">
      <pivotArea dataOnly="0" labelOnly="1" fieldPosition="0">
        <references count="2">
          <reference field="0" count="1" selected="0">
            <x v="13"/>
          </reference>
          <reference field="1" count="1">
            <x v="13"/>
          </reference>
        </references>
      </pivotArea>
    </format>
    <format dxfId="106">
      <pivotArea dataOnly="0" labelOnly="1" fieldPosition="0">
        <references count="2">
          <reference field="0" count="1" selected="0">
            <x v="14"/>
          </reference>
          <reference field="1" count="1">
            <x v="14"/>
          </reference>
        </references>
      </pivotArea>
    </format>
    <format dxfId="105">
      <pivotArea dataOnly="0" labelOnly="1" fieldPosition="0">
        <references count="2">
          <reference field="0" count="1" selected="0">
            <x v="15"/>
          </reference>
          <reference field="1" count="1">
            <x v="15"/>
          </reference>
        </references>
      </pivotArea>
    </format>
    <format dxfId="104">
      <pivotArea dataOnly="0" labelOnly="1" fieldPosition="0">
        <references count="2">
          <reference field="0" count="1" selected="0">
            <x v="16"/>
          </reference>
          <reference field="1" count="1">
            <x v="16"/>
          </reference>
        </references>
      </pivotArea>
    </format>
    <format dxfId="103">
      <pivotArea dataOnly="0" labelOnly="1" fieldPosition="0">
        <references count="2">
          <reference field="0" count="1" selected="0">
            <x v="17"/>
          </reference>
          <reference field="1" count="1">
            <x v="17"/>
          </reference>
        </references>
      </pivotArea>
    </format>
    <format dxfId="102">
      <pivotArea dataOnly="0" labelOnly="1" fieldPosition="0">
        <references count="2">
          <reference field="0" count="1" selected="0">
            <x v="18"/>
          </reference>
          <reference field="1" count="1">
            <x v="18"/>
          </reference>
        </references>
      </pivotArea>
    </format>
    <format dxfId="101">
      <pivotArea dataOnly="0" labelOnly="1" fieldPosition="0">
        <references count="2">
          <reference field="0" count="1" selected="0">
            <x v="19"/>
          </reference>
          <reference field="1" count="1">
            <x v="19"/>
          </reference>
        </references>
      </pivotArea>
    </format>
    <format dxfId="100">
      <pivotArea dataOnly="0" labelOnly="1" fieldPosition="0">
        <references count="2">
          <reference field="0" count="1" selected="0">
            <x v="20"/>
          </reference>
          <reference field="1" count="1">
            <x v="20"/>
          </reference>
        </references>
      </pivotArea>
    </format>
    <format dxfId="99">
      <pivotArea dataOnly="0" labelOnly="1" fieldPosition="0">
        <references count="2">
          <reference field="0" count="1" selected="0">
            <x v="21"/>
          </reference>
          <reference field="1" count="1">
            <x v="21"/>
          </reference>
        </references>
      </pivotArea>
    </format>
    <format dxfId="98">
      <pivotArea dataOnly="0" labelOnly="1" fieldPosition="0">
        <references count="2">
          <reference field="0" count="1" selected="0">
            <x v="22"/>
          </reference>
          <reference field="1" count="1">
            <x v="22"/>
          </reference>
        </references>
      </pivotArea>
    </format>
    <format dxfId="97">
      <pivotArea dataOnly="0" labelOnly="1" fieldPosition="0">
        <references count="2">
          <reference field="0" count="1" selected="0">
            <x v="23"/>
          </reference>
          <reference field="1" count="1">
            <x v="23"/>
          </reference>
        </references>
      </pivotArea>
    </format>
    <format dxfId="96">
      <pivotArea dataOnly="0" labelOnly="1" fieldPosition="0">
        <references count="2">
          <reference field="0" count="1" selected="0">
            <x v="24"/>
          </reference>
          <reference field="1" count="1">
            <x v="24"/>
          </reference>
        </references>
      </pivotArea>
    </format>
    <format dxfId="95">
      <pivotArea dataOnly="0" labelOnly="1" fieldPosition="0">
        <references count="2">
          <reference field="0" count="1" selected="0">
            <x v="25"/>
          </reference>
          <reference field="1" count="1">
            <x v="25"/>
          </reference>
        </references>
      </pivotArea>
    </format>
    <format dxfId="94">
      <pivotArea dataOnly="0" labelOnly="1" fieldPosition="0">
        <references count="2">
          <reference field="0" count="1" selected="0">
            <x v="26"/>
          </reference>
          <reference field="1" count="1">
            <x v="26"/>
          </reference>
        </references>
      </pivotArea>
    </format>
    <format dxfId="93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9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iveau risque initial"/>
    <pivotHierarchy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 caption="Niveau risque résidue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Vrais résiduelle"/>
    <pivotHierarchy dragToData="1"/>
    <pivotHierarchy dragToData="1"/>
    <pivotHierarchy dragToData="1" caption="Coût MS"/>
    <pivotHierarchy dragToData="1" caption="Vrais. initiale"/>
    <pivotHierarchy dragToData="1" caption="Gravité ER associé"/>
    <pivotHierarchy dragToData="1"/>
    <pivotHierarchy dragToData="1" caption="Niveau Risque initial"/>
    <pivotHierarchy dragToData="1" caption="Niveau Risque résiduel"/>
    <pivotHierarchy dragToData="1" caption="Taux couv"/>
    <pivotHierarchy dragToData="1"/>
    <pivotHierarchy dragToData="1" caption="Index Risque résiduel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8"/>
    <rowHierarchyUsage hierarchyUsage="9"/>
    <rowHierarchyUsage hierarchyUsage="19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3" id="{00000000-000E-0000-0500-000003000000}">
            <x14:pivotAreas count="1">
              <pivotArea type="data" outline="0" collapsedLevelsAreSubtotals="1" fieldPosition="0">
                <references count="1">
                  <reference field="4294967294" count="1" selected="0">
                    <x v="1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WorksheetConnection_Prototype Outil rationalisation SSI_Pivot - New.xlsx!Tableau_REF_Risques">
        <x15:activeTabTopLevelEntity name="[Tableau_REF_Risqu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Niveau_Retenu" xr10:uid="{647E234A-95A4-44AA-8586-A146F07318CF}" sourceName="[Tableau_REF_SMSR].[Vrais Retenue]">
  <pivotTables>
    <pivotTable tabId="28" name="Tableau croisé dynamique2"/>
  </pivotTables>
  <data>
    <olap pivotCacheId="1614297861">
      <levels count="2">
        <level uniqueName="[Tableau_REF_SMSR].[Vrais Retenue].[(All)]" sourceCaption="(All)" count="0"/>
        <level uniqueName="[Tableau_REF_SMSR].[Vrais Retenue].[Vrais Retenue]" sourceCaption="Vrais Retenue" count="5" sortOrder="ascending">
          <ranges>
            <range startItem="0">
              <i n="[Tableau_REF_SMSR].[Vrais Retenue].&amp;[0]" c="0"/>
              <i n="[Tableau_REF_SMSR].[Vrais Retenue].&amp;[1]" c="1"/>
              <i n="[Tableau_REF_SMSR].[Vrais Retenue].&amp;[2]" c="2"/>
              <i n="[Tableau_REF_SMSR].[Vrais Retenue].&amp;[3]" c="3"/>
              <i n="[Tableau_REF_SMSR].[Vrais Retenue].&amp;[4]" c="4"/>
            </range>
          </ranges>
        </level>
      </levels>
      <selections count="4">
        <selection n="[Tableau_REF_SMSR].[Vrais Retenue].&amp;[1]"/>
        <selection n="[Tableau_REF_SMSR].[Vrais Retenue].&amp;[2]"/>
        <selection n="[Tableau_REF_SMSR].[Vrais Retenue].&amp;[3]"/>
        <selection n="[Tableau_REF_SMSR].[Vrais Retenue].&amp;[4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ableau_REF_SMSR].[Vrais Retenue].[Vrais Retenue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ellé_scénario" xr10:uid="{0FF072E2-DC76-4B8D-90A5-DA9C8FC6C886}" sourceName="[Tableau_REF_SMSR].[Libellé scénario]">
  <pivotTables>
    <pivotTable tabId="28" name="Tableau croisé dynamique2"/>
  </pivotTables>
  <data>
    <olap pivotCacheId="1614297861">
      <levels count="2">
        <level uniqueName="[Tableau_REF_SMSR].[Libellé scénario].[(All)]" sourceCaption="(All)" count="0"/>
        <level uniqueName="[Tableau_REF_SMSR].[Libellé scénario].[Libellé scénario]" sourceCaption="Libellé scénario" count="27" sortOrder="ascending">
          <ranges>
            <range startItem="0">
              <i n="[Tableau_REF_SMSR].[Libellé scénario].&amp;[Abus de droits en vue d'effectuer une action malveillante]" c="Abus de droits en vue d'effectuer une action malveillante"/>
              <i n="[Tableau_REF_SMSR].[Libellé scénario].&amp;[Accès au réseau filaire par une personne non autorisée (absence ou contournement des mécanismes de sécurité)]" c="Accès au réseau filaire par une personne non autorisée (absence ou contournement des mécanismes de sécurité)"/>
              <i n="[Tableau_REF_SMSR].[Libellé scénario].&amp;[Accès au réseau Wi-Fi par une personne non autorisée (absence ou contournement des mécanismes de sécurité)]" c="Accès au réseau Wi-Fi par une personne non autorisée (absence ou contournement des mécanismes de sécurité)"/>
              <i n="[Tableau_REF_SMSR].[Libellé scénario].&amp;[Chiffrement et/ou suppression de données par malveillance]" c="Chiffrement et/ou suppression de données par malveillance"/>
              <i n="[Tableau_REF_SMSR].[Libellé scénario].&amp;[Compromission du réseau via l'installation d'une application infectée]" c="Compromission du réseau via l'installation d'une application infectée"/>
              <i n="[Tableau_REF_SMSR].[Libellé scénario].&amp;[Compromission du réseau via l'utilisation d'identifiants volés]" c="Compromission du réseau via l'utilisation d'identifiants volés"/>
              <i n="[Tableau_REF_SMSR].[Libellé scénario].&amp;[Compromission du réseau via une interconnexion partenaire (VPN)]" c="Compromission du réseau via une interconnexion partenaire (VPN)"/>
              <i n="[Tableau_REF_SMSR].[Libellé scénario].&amp;[Compromission d'un poste par Phishing de l'utilisateur (Pièce jointe ou URL piégée)]" c="Compromission d'un poste par Phishing de l'utilisateur (Pièce jointe ou URL piégée)"/>
              <i n="[Tableau_REF_SMSR].[Libellé scénario].&amp;[Compromission d'un poste via l'accès à un site web infecté]" c="Compromission d'un poste via l'accès à un site web infecté"/>
              <i n="[Tableau_REF_SMSR].[Libellé scénario].&amp;[Compromission d'un poste via une clé USB infectée]" c="Compromission d'un poste via une clé USB infectée"/>
              <i n="[Tableau_REF_SMSR].[Libellé scénario].&amp;[Compromission d'un service d'accès réseau à distance (ex VPN, VDI…)]" c="Compromission d'un service d'accès réseau à distance (ex VPN, VDI…)"/>
              <i n="[Tableau_REF_SMSR].[Libellé scénario].&amp;[Compromission d'une application ou d'une API exposée sur Internet]" c="Compromission d'une application ou d'une API exposée sur Internet"/>
              <i n="[Tableau_REF_SMSR].[Libellé scénario].&amp;[Contournement des mécanismes de contrôle afin d'effectuer une élévation de privilèges]" c="Contournement des mécanismes de contrôle afin d'effectuer une élévation de privilèges"/>
              <i n="[Tableau_REF_SMSR].[Libellé scénario].&amp;[Déploiement en production de codes applicatifs vulnérables]" c="Déploiement en production de codes applicatifs vulnérables"/>
              <i n="[Tableau_REF_SMSR].[Libellé scénario].&amp;[Détournement des fonctions d'un OS pour exécuter un code malveillant (Services, Registre, Bootloader...)]" c="Détournement des fonctions d'un OS pour exécuter un code malveillant (Services, Registre, Bootloader...)"/>
              <i n="[Tableau_REF_SMSR].[Libellé scénario].&amp;[Environnement réseau complexe impliquant des risques d'erreur importants sur les règles de cloisonnement et de filtrage réseau]" c="Environnement réseau complexe impliquant des risques d'erreur importants sur les règles de cloisonnement et de filtrage réseau"/>
              <i n="[Tableau_REF_SMSR].[Libellé scénario].&amp;[Erreur humaine entrainant une altération des services et/ou données]" c="Erreur humaine entrainant une altération des services et/ou données"/>
              <i n="[Tableau_REF_SMSR].[Libellé scénario].&amp;[Erreur humaine entrainant une fuite de données]" c="Erreur humaine entrainant une fuite de données"/>
              <i n="[Tableau_REF_SMSR].[Libellé scénario].&amp;[Erreur humaine entrainant une indisponibilité des services]" c="Erreur humaine entrainant une indisponibilité des services"/>
              <i n="[Tableau_REF_SMSR].[Libellé scénario].&amp;[Exécution de scripts malveillants dans les interpréteurs de commande (Shell)]" c="Exécution de scripts malveillants dans les interpréteurs de commande (Shell)"/>
              <i n="[Tableau_REF_SMSR].[Libellé scénario].&amp;[Incapacité à détecter un incident de sécurité et à fournir une piste d'audit post-mortem]" c="Incapacité à détecter un incident de sécurité et à fournir une piste d'audit post-mortem"/>
              <i n="[Tableau_REF_SMSR].[Libellé scénario].&amp;[Incapacité à gérer un terminal et à mettre en oeuvre une politique de sécurité]" c="Incapacité à gérer un terminal et à mettre en oeuvre une politique de sécurité"/>
              <i n="[Tableau_REF_SMSR].[Libellé scénario].&amp;[Indisponibilité des ressources suite à une attaque par DDoS]" c="Indisponibilité des ressources suite à une attaque par DDoS"/>
              <i n="[Tableau_REF_SMSR].[Libellé scénario].&amp;[Installation de composants illégitimes au sein du navigateur Web]" c="Installation de composants illégitimes au sein du navigateur Web"/>
              <i n="[Tableau_REF_SMSR].[Libellé scénario].&amp;[Modification illégitime des comptes et droits d'accès permettant de maintenir un accès au SI]" c="Modification illégitime des comptes et droits d'accès permettant de maintenir un accès au SI"/>
              <i n="[Tableau_REF_SMSR].[Libellé scénario].&amp;[Mouvement latéral en vue d'atteindre l'objectif]" c="Mouvement latéral en vue d'atteindre l'objectif"/>
              <i n="[Tableau_REF_SMSR].[Libellé scénario].&amp;[Ouverture d'un canal de commande et d'exfiltration sur le réseau]" c="Ouverture d'un canal de commande et d'exfiltration sur le réseau"/>
            </range>
          </ranges>
        </level>
      </levels>
      <selections count="1">
        <selection n="[Tableau_REF_SMSR].[Libellé scénario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5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SMSR].[Libellé scénario].[Libellé scénario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pplicabilité" xr10:uid="{4A6B646A-BCEA-4F7F-9F23-BCA9B7B992D8}" sourceName="[Tableau_REF_Mesures].[Applicabilité]">
  <pivotTables>
    <pivotTable tabId="30" name="Tableau croisé dynamique7"/>
  </pivotTables>
  <data>
    <olap pivotCacheId="600718854">
      <levels count="2">
        <level uniqueName="[Tableau_REF_Mesures].[Applicabilité].[(All)]" sourceCaption="(All)" count="0"/>
        <level uniqueName="[Tableau_REF_Mesures].[Applicabilité].[Applicabilité]" sourceCaption="Applicabilité" count="2">
          <ranges>
            <range startItem="0">
              <i n="[Tableau_REF_Mesures].[Applicabilité].&amp;[NON]" c="NON"/>
              <i n="[Tableau_REF_Mesures].[Applicabilité].&amp;[OUI]" c="OUI"/>
            </range>
          </ranges>
        </level>
      </levels>
      <selections count="1">
        <selection n="[Tableau_REF_Mesures].[Applicabilité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_MS1" xr10:uid="{8AE04592-2D62-4F0A-8306-EB456F2AA985}" sourceName="[Tableau_REF_Mesures].[#MS]">
  <pivotTables>
    <pivotTable tabId="30" name="Tableau croisé dynamique7"/>
  </pivotTables>
  <data>
    <olap pivotCacheId="600718854">
      <levels count="2">
        <level uniqueName="[Tableau_REF_Mesures].[#MS].[(All)]" sourceCaption="(All)" count="0"/>
        <level uniqueName="[Tableau_REF_Mesures].[#MS].[#MS]" sourceCaption="#MS" count="35" sortOrder="ascending">
          <ranges>
            <range startItem="0">
              <i n="[Tableau_REF_Mesures].[#MS].&amp;[SERV1]" c="SERV1"/>
              <i n="[Tableau_REF_Mesures].[#MS].&amp;[SERV2]" c="SERV2"/>
              <i n="[Tableau_REF_Mesures].[#MS].&amp;[SERV3]" c="SERV3"/>
              <i n="[Tableau_REF_Mesures].[#MS].&amp;[SERV4]" c="SERV4"/>
              <i n="[Tableau_REF_Mesures].[#MS].&amp;[SERV5]" c="SERV5"/>
              <i n="[Tableau_REF_Mesures].[#MS].&amp;[SERV6]" c="SERV6"/>
              <i n="[Tableau_REF_Mesures].[#MS].&amp;[TECH10]" c="TECH10"/>
              <i n="[Tableau_REF_Mesures].[#MS].&amp;[TECH11]" c="TECH11"/>
              <i n="[Tableau_REF_Mesures].[#MS].&amp;[TECH12A]" c="TECH12A"/>
              <i n="[Tableau_REF_Mesures].[#MS].&amp;[TECH12E]" c="TECH12E"/>
              <i n="[Tableau_REF_Mesures].[#MS].&amp;[TECH13]" c="TECH13"/>
              <i n="[Tableau_REF_Mesures].[#MS].&amp;[TECH14A]" c="TECH14A"/>
              <i n="[Tableau_REF_Mesures].[#MS].&amp;[TECH14E]" c="TECH14E"/>
              <i n="[Tableau_REF_Mesures].[#MS].&amp;[TECH15]" c="TECH15"/>
              <i n="[Tableau_REF_Mesures].[#MS].&amp;[TECH16]" c="TECH16"/>
              <i n="[Tableau_REF_Mesures].[#MS].&amp;[TECH17]" c="TECH17"/>
              <i n="[Tableau_REF_Mesures].[#MS].&amp;[TECH18]" c="TECH18"/>
              <i n="[Tableau_REF_Mesures].[#MS].&amp;[TECH19]" c="TECH19"/>
              <i n="[Tableau_REF_Mesures].[#MS].&amp;[TECH1A]" c="TECH1A"/>
              <i n="[Tableau_REF_Mesures].[#MS].&amp;[TECH1E]" c="TECH1E"/>
              <i n="[Tableau_REF_Mesures].[#MS].&amp;[TECH1I]" c="TECH1I"/>
              <i n="[Tableau_REF_Mesures].[#MS].&amp;[TECH2]" c="TECH2"/>
              <i n="[Tableau_REF_Mesures].[#MS].&amp;[TECH20]" c="TECH20"/>
              <i n="[Tableau_REF_Mesures].[#MS].&amp;[TECH21]" c="TECH21"/>
              <i n="[Tableau_REF_Mesures].[#MS].&amp;[TECH3]" c="TECH3"/>
              <i n="[Tableau_REF_Mesures].[#MS].&amp;[TECH4]" c="TECH4"/>
              <i n="[Tableau_REF_Mesures].[#MS].&amp;[TECH5A]" c="TECH5A"/>
              <i n="[Tableau_REF_Mesures].[#MS].&amp;[TECH5E]" c="TECH5E"/>
              <i n="[Tableau_REF_Mesures].[#MS].&amp;[TECH5I]" c="TECH5I"/>
              <i n="[Tableau_REF_Mesures].[#MS].&amp;[TECH6A]" c="TECH6A"/>
              <i n="[Tableau_REF_Mesures].[#MS].&amp;[TECH6E]" c="TECH6E"/>
              <i n="[Tableau_REF_Mesures].[#MS].&amp;[TECH6I]" c="TECH6I"/>
              <i n="[Tableau_REF_Mesures].[#MS].&amp;[TECH7]" c="TECH7"/>
              <i n="[Tableau_REF_Mesures].[#MS].&amp;[TECH8]" c="TECH8"/>
              <i n="[Tableau_REF_Mesures].[#MS].&amp;[TECH9]" c="TECH9"/>
            </range>
          </ranges>
        </level>
      </levels>
      <selections count="1">
        <selection n="[Tableau_REF_Mesures].[#M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4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_RR" xr10:uid="{0C5F278A-9DE9-40D4-9E19-7CDCA61B817B}" sourceName="[Tableau_REF_Risques].[Lib RR]">
  <pivotTables>
    <pivotTable tabId="31" name="Tableau croisé dynamique14"/>
    <pivotTable tabId="31" name="Tableau croisé dynamique15"/>
    <pivotTable tabId="31" name="Tableau croisé dynamique16"/>
  </pivotTables>
  <data>
    <olap pivotCacheId="1819063630">
      <levels count="2">
        <level uniqueName="[Tableau_REF_Risques].[Lib RR].[(All)]" sourceCaption="(All)" count="0"/>
        <level uniqueName="[Tableau_REF_Risques].[Lib RR].[Lib RR]" sourceCaption="Lib RR" count="2">
          <ranges>
            <range startItem="0">
              <i n="[Tableau_REF_Risques].[Lib RR].&amp;[Fort]" c="Fort"/>
              <i n="[Tableau_REF_Risques].[Lib RR].&amp;[Modéré]" c="Modéré"/>
            </range>
          </ranges>
        </level>
      </levels>
      <selections count="1">
        <selection n="[Tableau_REF_Risques].[Lib R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Risques].[Lib RR].[Lib RR]" count="0"/>
      </x15:slicerCacheHideItemsWithNoData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Lib_Tx_Couv" xr10:uid="{A576F8A9-B99F-4FBC-B8E7-651FDA407A3C}" sourceName="[Tableau_REF_Risques].[Lib Tx Couv]">
  <pivotTables>
    <pivotTable tabId="31" name="Tableau croisé dynamique14"/>
    <pivotTable tabId="31" name="Tableau croisé dynamique15"/>
    <pivotTable tabId="31" name="Tableau croisé dynamique16"/>
  </pivotTables>
  <data>
    <olap pivotCacheId="1819063630">
      <levels count="2">
        <level uniqueName="[Tableau_REF_Risques].[Lib Tx Couv].[(All)]" sourceCaption="(All)" count="0"/>
        <level uniqueName="[Tableau_REF_Risques].[Lib Tx Couv].[Lib Tx Couv]" sourceCaption="Lib Tx Couv" count="3" sortOrder="descending">
          <ranges>
            <range startItem="0">
              <i n="[Tableau_REF_Risques].[Lib Tx Couv].&amp;[100%]" c="100%"/>
              <i n="[Tableau_REF_Risques].[Lib Tx Couv].&amp;[&gt;100%]" c="&gt;100%"/>
              <i n="[Tableau_REF_Risques].[Lib Tx Couv].&amp;[&lt;100%]" c="&lt;100%"/>
            </range>
          </ranges>
        </level>
      </levels>
      <selections count="1">
        <selection n="[Tableau_REF_Risques].[Lib Tx Couv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Tableau_REF_Risques].[Lib Tx Couv].[Lib Tx Couv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iveau Retenu" xr10:uid="{2AFF8C3D-93DB-42E2-BB73-7730E3611CD8}" cache="Segment_Niveau_Retenu" caption="Niveau Retenu" level="1" lockedPosition="1" rowHeight="225425"/>
  <slicer name="Libellé scénario" xr10:uid="{CD1009F6-79CA-431F-BD5C-C22B9BA671C2}" cache="Segment_Libellé_scénario" caption="Libellé scénario" level="1" lockedPosition="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ure applicable" xr10:uid="{D43BD63E-251C-4157-B784-6F592ED60237}" cache="Segment_Applicabilité" caption="Mesure applicable" level="1" lockedPosition="1" rowHeight="225425"/>
  <slicer name="#MS" xr10:uid="{CD5C6808-FC60-4956-90AB-95B1A154F50D}" cache="Segment__MS1" caption="#MS" level="1" lockedPosition="1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iveau risque rés" xr10:uid="{F1F37A57-D6B5-49C3-89E2-DA47727A5B5E}" cache="Segment_Lib_RR" caption="Niveau risque rés" level="1" lockedPosition="1" rowHeight="225425"/>
  <slicer name="Lib Tx Couv" xr10:uid="{BB0C5E0F-A29B-42A2-8FEC-F32000684E17}" cache="Segment_Lib_Tx_Couv" caption="Taux couverture" level="1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A15AD4-8F56-4CA7-81EC-4A9F082594C2}" name="Tableau_REF_Risques" displayName="Tableau_REF_Risques" ref="B1:V28" totalsRowShown="0" headerRowDxfId="83" dataDxfId="82" tableBorderDxfId="81">
  <autoFilter ref="B1:V28" xr:uid="{5FC9F59A-3287-47D5-AC56-1E4D254E3A18}"/>
  <tableColumns count="21">
    <tableColumn id="1" xr3:uid="{D2560508-C238-4C8D-A997-102F7A5DFDF6}" name="#SM" dataDxfId="80"/>
    <tableColumn id="2" xr3:uid="{B8E9C3EE-71BF-48B7-AE08-B054623276B9}" name="Intitulé SM" dataDxfId="79"/>
    <tableColumn id="3" xr3:uid="{D97812E9-D0A1-4A8D-8BEF-CBE1A72543AC}" name="D" dataDxfId="78"/>
    <tableColumn id="4" xr3:uid="{9A298E5D-C3A4-4503-B90B-7E832B149C57}" name="I" dataDxfId="77"/>
    <tableColumn id="5" xr3:uid="{970DB801-F7EC-4332-9872-A5DB4DD0A64A}" name="C" dataDxfId="76"/>
    <tableColumn id="6" xr3:uid="{460AAB33-0F7C-46A2-B866-8F3A86915A62}" name="P" dataDxfId="75"/>
    <tableColumn id="7" xr3:uid="{1462496B-F71B-4089-AA4E-7C598C28C5F6}" name="Nb critères impactés" dataDxfId="74">
      <calculatedColumnFormula>COUNTA(D2:G2)</calculatedColumnFormula>
    </tableColumn>
    <tableColumn id="14" xr3:uid="{D8927AA0-D1C5-4B2A-8A0D-BF9DBED33DB0}" name="Critères impactés" dataDxfId="73"/>
    <tableColumn id="13" xr3:uid="{0D33F0CB-5FF1-4772-9970-D951FEA05588}" name="Gravité" dataDxfId="72">
      <calculatedColumnFormula>MAX(Tableau_REF_Risques[[#This Row],[D]:[P]])</calculatedColumnFormula>
    </tableColumn>
    <tableColumn id="11" xr3:uid="{CC4BEB85-823E-42DE-8FC9-C39AEC41F1A5}" name="Vraisemblance I" dataDxfId="71">
      <calculatedColumnFormula>_xlfn.MAXIFS(Tableau_REF_SMSR[Vrais Retenue],Tableau_REF_SMSR['#SM],Tableau_REF_Risques[[#This Row],['#SM]])</calculatedColumnFormula>
    </tableColumn>
    <tableColumn id="15" xr3:uid="{2524D4C4-31B4-4041-A105-FCB7DEF939F4}" name="NRI" dataDxfId="70">
      <calculatedColumnFormula>Tableau_REF_Risques[[#This Row],[Gravité]]*Tableau_REF_Risques[[#This Row],[Vraisemblance I]]</calculatedColumnFormula>
    </tableColumn>
    <tableColumn id="21" xr3:uid="{4F53763F-9E94-4CC1-A8BE-3DE15FB24D10}" name="Lib RI" dataDxfId="69">
      <calculatedColumnFormula>VLOOKUP(Tableau_REF_Risques[[#This Row],[NRI]],DATA_Listes!$A$93:$B$101,2,FALSE)</calculatedColumnFormula>
    </tableColumn>
    <tableColumn id="19" xr3:uid="{1E57A98D-1DE2-462E-8E86-4BBD273E4DB2}" name="Cout couv" dataDxfId="68">
      <calculatedColumnFormula>SUMIF(Tableau_REF_SMMS['#SM],Tableau_REF_Risques[[#This Row],['#SM]],Tableau_REF_SMMS[Cout couverture])</calculatedColumnFormula>
    </tableColumn>
    <tableColumn id="17" xr3:uid="{D759775E-063A-4894-9A07-616EBFF9F685}" name="Tx couv" dataDxfId="67" dataCellStyle="Pourcentage">
      <calculatedColumnFormula>ROUND(SUMIF(Tableau_REF_SMMS['#SM],Tableau_REF_Risques[[#This Row],['#SM]],Tableau_REF_SMMS[Couverture effective]),2)</calculatedColumnFormula>
    </tableColumn>
    <tableColumn id="18" xr3:uid="{7A149A6F-22B7-448B-966E-AF271B237EB4}" name="Lib Tx Couv" dataDxfId="66" dataCellStyle="Pourcentage">
      <calculatedColumnFormula>IF(O2=1,"100%",IF(O2&gt;1,"&gt;100%","&lt;100%"))</calculatedColumnFormula>
    </tableColumn>
    <tableColumn id="12" xr3:uid="{552345BB-ED41-4E49-97F9-A32E8127FFAA}" name="Vraisemblance R" dataDxfId="65">
      <calculatedColumnFormula>ROUND(Tableau_REF_Risques[[#This Row],[Vraisemblance I]]*(1-Tableau_REF_Risques[[#This Row],[Tx couv]])+1,0)</calculatedColumnFormula>
    </tableColumn>
    <tableColumn id="16" xr3:uid="{9B0C0C1A-49F0-45CC-8782-F016A33803A5}" name="NRR" dataDxfId="64">
      <calculatedColumnFormula>IF(Tableau_REF_Risques[[#This Row],[Vraisemblance R]]*Tableau_REF_Risques[[#This Row],[Gravité]]&lt;=0,1,Tableau_REF_Risques[[#This Row],[Vraisemblance R]]*Tableau_REF_Risques[[#This Row],[Gravité]])</calculatedColumnFormula>
    </tableColumn>
    <tableColumn id="22" xr3:uid="{C5CB531B-BA97-43E7-8FE9-DB7F2E14283B}" name="Lib RR" dataDxfId="63">
      <calculatedColumnFormula>VLOOKUP(Tableau_REF_Risques[[#This Row],[NRR]],DATA_Listes!$A$93:$B$101,2,FALSE)</calculatedColumnFormula>
    </tableColumn>
    <tableColumn id="8" xr3:uid="{2026B69D-0E67-4B9C-B04B-B865C8308349}" name="Catégorie" dataDxfId="62"/>
    <tableColumn id="9" xr3:uid="{8651E959-3517-4EB2-BA86-B6C86C06C7AD}" name="Ref MITRE" dataDxfId="61"/>
    <tableColumn id="10" xr3:uid="{324622F9-DCA5-44F1-8A35-7DD3A0E2A82E}" name="Lien MITRE" dataDxfId="6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au_REF_Mesures" displayName="Tableau_REF_Mesures" ref="A1:H36" headerRowDxfId="59" dataDxfId="58" totalsRowDxfId="57">
  <autoFilter ref="A1:H36" xr:uid="{71C1D982-7CC1-499E-AF13-347049D1CFE2}"/>
  <tableColumns count="8">
    <tableColumn id="1" xr3:uid="{00000000-0010-0000-0300-000001000000}" name="#MS" dataDxfId="56"/>
    <tableColumn id="2" xr3:uid="{00000000-0010-0000-0300-000002000000}" name="Nom mesure" dataDxfId="55"/>
    <tableColumn id="3" xr3:uid="{00000000-0010-0000-0300-000003000000}" name="Applicabilité" dataDxfId="54"/>
    <tableColumn id="4" xr3:uid="{00000000-0010-0000-0300-000004000000}" name="Cas d'utilisation théoriques" dataDxfId="53">
      <calculatedColumnFormula>COUNTIF(Tableau_REF_SMMS['#MS],Tableau_REF_Mesures[[#This Row],['#MS]])</calculatedColumnFormula>
    </tableColumn>
    <tableColumn id="6" xr3:uid="{6E24C707-E0F3-4DB9-A613-702C5A6C1E4A}" name="Cas d'utilisation effectifs" dataDxfId="52">
      <calculatedColumnFormula>IF(Tableau_REF_Mesures[[#This Row],[Applicabilité]]="OUI",COUNTIF(Tableau_REF_SMMS['#MS],Tableau_REF_Mesures[[#This Row],['#MS]]),0)</calculatedColumnFormula>
    </tableColumn>
    <tableColumn id="8" xr3:uid="{30309AEB-D4C8-4C5B-8E12-7F5CE9D49FF6}" name="Pct Utilisation" dataDxfId="51" dataCellStyle="Pourcentage">
      <calculatedColumnFormula>SUMIF(Tableau_REF_SMMS['#MS],A2,Tableau_REF_SMMS[Couverture effective])</calculatedColumnFormula>
    </tableColumn>
    <tableColumn id="5" xr3:uid="{00000000-0010-0000-0300-000005000000}" name="TCO ke" dataDxfId="50" dataCellStyle="Monétaire"/>
    <tableColumn id="7" xr3:uid="{CD0CDF7E-0F4B-4B1E-80FF-744EC428B28D}" name="TCO euros" dataDxfId="49" totalsRowDxfId="48" dataCellStyle="Monétaire">
      <calculatedColumnFormula>Tableau_REF_Mesures[[#This Row],[TCO ke]]*1000</calculatedColumnFormula>
    </tableColumn>
  </tableColumns>
  <tableStyleInfo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F13AF4-A7C0-4494-B71C-8D4E8904440E}" name="Tableau_REC_Mesures" displayName="Tableau_REC_Mesures" ref="L1:Q11" totalsRowShown="0" headerRowDxfId="47" dataDxfId="46">
  <autoFilter ref="L1:Q11" xr:uid="{370F119F-AEB5-46DC-9BBA-D6C85CFE1A73}"/>
  <tableColumns count="6">
    <tableColumn id="1" xr3:uid="{A97E5C7E-5234-4C7D-86BC-CD8F26801DE3}" name="#MS" dataDxfId="45"/>
    <tableColumn id="2" xr3:uid="{3F86A4A0-6E34-4568-A29D-54F824BE8E95}" name="Rec_Th_TECH1I" dataDxfId="44" dataCellStyle="Pourcentage"/>
    <tableColumn id="3" xr3:uid="{92E9AE6B-E3C2-46E1-A18E-625C388E2A54}" name="Rec_Th_TECH1A" dataDxfId="43" dataCellStyle="Pourcentage"/>
    <tableColumn id="4" xr3:uid="{5606BF6A-A473-492F-92D5-D6C970022C24}" name="Rec_Ef_TECH1I" dataDxfId="42" dataCellStyle="Pourcentage">
      <calculatedColumnFormula>IF($C$3="OUI",M2,0)</calculatedColumnFormula>
    </tableColumn>
    <tableColumn id="5" xr3:uid="{624843F6-D61C-41BD-BAD9-327F85D5FC6B}" name="Rec_Ef_TECH1A" dataDxfId="41" dataCellStyle="Pourcentage">
      <calculatedColumnFormula>IF($C$4="OUI",N2,0)</calculatedColumnFormula>
    </tableColumn>
    <tableColumn id="6" xr3:uid="{86F2A77E-29EC-4694-8BB2-4A59033877DF}" name="Ref_Ef" dataDxfId="40">
      <calculatedColumnFormula>O2+P2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BFAC3A9-D2B4-468D-A457-5801446568FF}" name="Tableau_REF_SMMS" displayName="Tableau_REF_SMMS" ref="A1:I252" totalsRowShown="0" headerRowDxfId="39">
  <autoFilter ref="A1:I252" xr:uid="{7152ACE6-EE22-430A-878D-4E50DA9DFF66}"/>
  <sortState xmlns:xlrd2="http://schemas.microsoft.com/office/spreadsheetml/2017/richdata2" ref="A2:I252">
    <sortCondition descending="1" ref="A1:A252"/>
  </sortState>
  <tableColumns count="9">
    <tableColumn id="1" xr3:uid="{775AD9C3-99C8-4116-9BA8-337CC631EC97}" name="#SM" dataDxfId="38"/>
    <tableColumn id="2" xr3:uid="{E6CFFA44-4F47-43F8-808A-F9387882F156}" name="Libellé scénario" dataDxfId="37">
      <calculatedColumnFormula>VLOOKUP(A2,Tableau_REF_Risques[],2,FALSE)</calculatedColumnFormula>
    </tableColumn>
    <tableColumn id="9" xr3:uid="{8FF1127F-4C90-40AA-B263-C29D58EDFD88}" name="Niv Vraisemblance" dataDxfId="36">
      <calculatedColumnFormula>_xlfn.MAXIFS(Tableau_REF_SMSR[Vrais Retenue],Tableau_REF_SMSR['#SM],Tableau_REF_SMMS[[#This Row],['#SM]])</calculatedColumnFormula>
    </tableColumn>
    <tableColumn id="3" xr3:uid="{C298D17D-F003-45D9-9F06-4FB10DB993E4}" name="#MS"/>
    <tableColumn id="4" xr3:uid="{4E0AD3E7-89EB-44C7-9EA7-EA6A816411B5}" name="Libellé mesure" dataDxfId="35">
      <calculatedColumnFormula>VLOOKUP(D2,Tableau_REF_Mesures[],2,FALSE)</calculatedColumnFormula>
    </tableColumn>
    <tableColumn id="5" xr3:uid="{D36CED1D-08B3-424C-AC3C-DA032399CC20}" name="Couverture théorique" dataDxfId="34"/>
    <tableColumn id="8" xr3:uid="{08FBEB94-91B7-4167-84D2-F9818EA2451C}" name="Taux recouvrement" dataDxfId="33">
      <calculatedColumnFormula>IFERROR(VLOOKUP(Tableau_REF_SMMS[[#This Row],['#MS]],Tableau_REC_Mesures[#All],6,FALSE),0)</calculatedColumnFormula>
    </tableColumn>
    <tableColumn id="6" xr3:uid="{FE6208CE-2E1E-452E-8F03-F2068CC97D4C}" name="Couverture effective" dataDxfId="32">
      <calculatedColumnFormula>IF(VLOOKUP(D2,Tableau_REF_Mesures[],3,FALSE)="OUI",F2+(F2*G2),0)</calculatedColumnFormula>
    </tableColumn>
    <tableColumn id="7" xr3:uid="{76D95724-E4B6-4A22-8B46-12F7DFD9A425}" name="Cout couverture" dataDxfId="31" dataCellStyle="Monétaire">
      <calculatedColumnFormula>VLOOKUP(D2,Tableau_REF_Mesures[],7,FALSE)*H2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E56C5E-2DFD-4977-9686-033EB9411FE5}" name="Tableau_REF_SMSR" displayName="Tableau_REF_SMSR" ref="A1:E182" totalsRowShown="0" dataDxfId="30">
  <autoFilter ref="A1:E182" xr:uid="{B119A0E5-D020-4FAB-B23D-23FECBAA5F7B}"/>
  <tableColumns count="5">
    <tableColumn id="1" xr3:uid="{CDEAAC2A-A68A-43C5-998D-6561563D2CD5}" name="#SM" dataDxfId="29" totalsRowDxfId="28"/>
    <tableColumn id="2" xr3:uid="{3E700BEE-2478-421C-ACE0-88BB19F46656}" name="Libellé scénario" dataDxfId="27" totalsRowDxfId="26">
      <calculatedColumnFormula>VLOOKUP(Tableau_REF_SMSR[[#This Row],['#SM]],Tableau_REF_Risques[['#SM]:[Intitulé SM]],2,FALSE)</calculatedColumnFormula>
    </tableColumn>
    <tableColumn id="3" xr3:uid="{AA306E1E-FA77-4775-BB0A-2F9EF1E494F9}" name="Source de risque" dataDxfId="25" totalsRowDxfId="24"/>
    <tableColumn id="4" xr3:uid="{A06E3100-90D9-4575-BEAF-C30D80E6B8EF}" name="Vrais REF"/>
    <tableColumn id="5" xr3:uid="{398DE4F0-84E8-4426-A8B3-9557AE613775}" name="Vrais Retenue" dataDxfId="23" totalsRowDxfId="22" dataCellStyle="Milliers">
      <calculatedColumnFormula>IF(VLOOKUP(C2,$G$11:$I$13,3,FALSE)="Forte",D2,"")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108EE7-3C56-419C-ABD5-000C564CFE31}" name="Tableau_REF_SR" displayName="Tableau_REF_SR" ref="G1:I13" totalsRowShown="0" dataDxfId="21">
  <autoFilter ref="G1:I13" xr:uid="{C84F5D9B-A497-4197-9B40-97462046E7FE}"/>
  <sortState xmlns:xlrd2="http://schemas.microsoft.com/office/spreadsheetml/2017/richdata2" ref="G2:I13">
    <sortCondition ref="I1:I13"/>
  </sortState>
  <tableColumns count="3">
    <tableColumn id="1" xr3:uid="{1465D724-B535-413A-958E-EAABC83EFE90}" name="Source de risque" dataDxfId="20"/>
    <tableColumn id="2" xr3:uid="{70E81F11-FD05-44BA-9135-9BE5F3F57CCB}" name="Type" dataDxfId="19"/>
    <tableColumn id="3" xr3:uid="{113F4031-B40A-4527-B1C8-FDA5B738FAE3}" name="Pertinence" dataDxfId="18">
      <calculatedColumnFormula>'INPUT_Sources de Risques'!F4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5" Type="http://schemas.microsoft.com/office/2007/relationships/slicer" Target="../slicers/slicer2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963"/>
  <sheetViews>
    <sheetView showGridLines="0" tabSelected="1" topLeftCell="A13" workbookViewId="0">
      <selection activeCell="A36" sqref="A36"/>
    </sheetView>
  </sheetViews>
  <sheetFormatPr baseColWidth="10" defaultColWidth="14.42578125" defaultRowHeight="12.75" x14ac:dyDescent="0.2"/>
  <cols>
    <col min="1" max="1" width="95.28515625" style="65" bestFit="1" customWidth="1"/>
    <col min="2" max="5" width="35.7109375" style="65" customWidth="1"/>
    <col min="6" max="6" width="28.5703125" style="65" customWidth="1"/>
    <col min="7" max="9" width="10.140625" style="65" customWidth="1"/>
    <col min="10" max="10" width="9" style="65" customWidth="1"/>
    <col min="11" max="11" width="8.140625" style="65" customWidth="1"/>
    <col min="12" max="16384" width="14.42578125" style="65"/>
  </cols>
  <sheetData>
    <row r="1" spans="1:31" ht="23.25" x14ac:dyDescent="0.35">
      <c r="A1" s="172" t="s">
        <v>0</v>
      </c>
      <c r="B1" s="172"/>
      <c r="C1" s="172"/>
      <c r="D1" s="172"/>
      <c r="E1" s="115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</row>
    <row r="2" spans="1:31" ht="15" x14ac:dyDescent="0.25">
      <c r="A2" s="117" t="s">
        <v>1</v>
      </c>
      <c r="B2" s="117" t="s">
        <v>2</v>
      </c>
      <c r="C2" s="171" t="s">
        <v>3</v>
      </c>
      <c r="D2" s="171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</row>
    <row r="3" spans="1:31" ht="14.25" x14ac:dyDescent="0.2">
      <c r="A3" s="131" t="s">
        <v>4</v>
      </c>
      <c r="B3" s="131"/>
      <c r="C3" s="131"/>
      <c r="D3" s="131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</row>
    <row r="4" spans="1:31" ht="14.25" x14ac:dyDescent="0.2">
      <c r="A4" s="120" t="s">
        <v>5</v>
      </c>
      <c r="B4" s="132" t="s">
        <v>6</v>
      </c>
      <c r="C4" s="132"/>
      <c r="D4" s="132"/>
      <c r="E4" s="119"/>
      <c r="F4" s="119"/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</row>
    <row r="5" spans="1:31" ht="14.25" x14ac:dyDescent="0.2">
      <c r="A5" s="131" t="s">
        <v>7</v>
      </c>
      <c r="B5" s="133" t="s">
        <v>8</v>
      </c>
      <c r="C5" s="131"/>
      <c r="D5" s="131"/>
      <c r="E5" s="119"/>
      <c r="F5" s="119"/>
      <c r="G5" s="119"/>
      <c r="H5" s="119"/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</row>
    <row r="6" spans="1:31" ht="14.25" x14ac:dyDescent="0.2">
      <c r="A6" s="122" t="s">
        <v>9</v>
      </c>
      <c r="B6" s="132" t="s">
        <v>10</v>
      </c>
      <c r="C6" s="132"/>
      <c r="D6" s="132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</row>
    <row r="7" spans="1:31" ht="14.25" x14ac:dyDescent="0.2">
      <c r="A7" s="131" t="s">
        <v>11</v>
      </c>
      <c r="B7" s="133"/>
      <c r="C7" s="131"/>
      <c r="D7" s="131"/>
      <c r="E7" s="119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</row>
    <row r="8" spans="1:31" ht="14.25" x14ac:dyDescent="0.2">
      <c r="A8" s="123" t="s">
        <v>12</v>
      </c>
      <c r="B8" s="132"/>
      <c r="C8" s="132"/>
      <c r="D8" s="132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</row>
    <row r="9" spans="1:31" ht="14.25" x14ac:dyDescent="0.2">
      <c r="A9" s="131" t="s">
        <v>13</v>
      </c>
      <c r="B9" s="133" t="s">
        <v>14</v>
      </c>
      <c r="C9" s="131"/>
      <c r="D9" s="131"/>
      <c r="E9" s="119"/>
      <c r="F9" s="119"/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</row>
    <row r="10" spans="1:31" ht="14.25" x14ac:dyDescent="0.2">
      <c r="A10" s="122" t="s">
        <v>15</v>
      </c>
      <c r="B10" s="132" t="s">
        <v>16</v>
      </c>
      <c r="C10" s="132"/>
      <c r="D10" s="132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</row>
    <row r="11" spans="1:31" ht="14.25" x14ac:dyDescent="0.2">
      <c r="A11" s="131" t="s">
        <v>17</v>
      </c>
      <c r="B11" s="133" t="s">
        <v>18</v>
      </c>
      <c r="C11" s="131"/>
      <c r="D11" s="131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</row>
    <row r="12" spans="1:31" ht="14.25" x14ac:dyDescent="0.2">
      <c r="A12" s="122" t="s">
        <v>19</v>
      </c>
      <c r="B12" s="132"/>
      <c r="C12" s="132"/>
      <c r="D12" s="132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</row>
    <row r="13" spans="1:31" ht="14.25" x14ac:dyDescent="0.2">
      <c r="A13" s="131" t="s">
        <v>20</v>
      </c>
      <c r="B13" s="133" t="s">
        <v>303</v>
      </c>
      <c r="C13" s="131"/>
      <c r="D13" s="131"/>
      <c r="E13" s="124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</row>
    <row r="14" spans="1:31" ht="14.25" x14ac:dyDescent="0.2">
      <c r="A14" s="122" t="s">
        <v>434</v>
      </c>
      <c r="B14" s="132" t="s">
        <v>308</v>
      </c>
      <c r="C14" s="132"/>
      <c r="D14" s="132"/>
      <c r="E14" s="124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</row>
    <row r="15" spans="1:31" ht="14.25" x14ac:dyDescent="0.2">
      <c r="A15" s="131" t="s">
        <v>21</v>
      </c>
      <c r="B15" s="133" t="s">
        <v>22</v>
      </c>
      <c r="C15" s="131"/>
      <c r="D15" s="131"/>
      <c r="E15" s="155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</row>
    <row r="16" spans="1:31" ht="14.25" x14ac:dyDescent="0.2">
      <c r="A16" s="122" t="s">
        <v>23</v>
      </c>
      <c r="B16" s="132"/>
      <c r="C16" s="132"/>
      <c r="D16" s="132"/>
      <c r="E16" s="155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</row>
    <row r="17" spans="1:31" ht="14.25" x14ac:dyDescent="0.2">
      <c r="A17" s="131" t="s">
        <v>24</v>
      </c>
      <c r="B17" s="133" t="s">
        <v>25</v>
      </c>
      <c r="C17" s="131"/>
      <c r="D17" s="131"/>
      <c r="E17" s="124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</row>
    <row r="18" spans="1:31" ht="14.25" x14ac:dyDescent="0.2">
      <c r="A18" s="123" t="s">
        <v>26</v>
      </c>
      <c r="B18" s="132" t="s">
        <v>27</v>
      </c>
      <c r="C18" s="132"/>
      <c r="D18" s="132"/>
      <c r="E18" s="124"/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</row>
    <row r="19" spans="1:31" ht="14.25" x14ac:dyDescent="0.2">
      <c r="A19" s="131" t="s">
        <v>28</v>
      </c>
      <c r="B19" s="133"/>
      <c r="C19" s="131"/>
      <c r="D19" s="131"/>
      <c r="E19" s="124"/>
      <c r="F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</row>
    <row r="20" spans="1:31" ht="14.25" x14ac:dyDescent="0.2">
      <c r="A20" s="123" t="s">
        <v>29</v>
      </c>
      <c r="B20" s="132" t="s">
        <v>30</v>
      </c>
      <c r="C20" s="132"/>
      <c r="D20" s="132"/>
      <c r="E20" s="155"/>
      <c r="F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</row>
    <row r="21" spans="1:31" ht="15" x14ac:dyDescent="0.25">
      <c r="A21" s="118"/>
      <c r="B21" s="118"/>
      <c r="C21" s="118"/>
      <c r="D21" s="118"/>
      <c r="E21" s="119"/>
      <c r="F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</row>
    <row r="22" spans="1:31" ht="15" x14ac:dyDescent="0.25">
      <c r="A22" s="118"/>
      <c r="B22" s="118"/>
      <c r="C22" s="118"/>
      <c r="D22" s="118"/>
      <c r="E22" s="119"/>
      <c r="F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</row>
    <row r="23" spans="1:31" ht="23.25" x14ac:dyDescent="0.35">
      <c r="A23" s="168" t="s">
        <v>31</v>
      </c>
      <c r="B23" s="169"/>
      <c r="C23" s="169"/>
      <c r="D23" s="170"/>
      <c r="E23" s="125"/>
      <c r="F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</row>
    <row r="24" spans="1:31" ht="45" x14ac:dyDescent="0.2">
      <c r="A24" s="126" t="s">
        <v>32</v>
      </c>
      <c r="B24" s="127" t="s">
        <v>33</v>
      </c>
      <c r="C24" s="127" t="s">
        <v>34</v>
      </c>
      <c r="D24" s="127" t="s">
        <v>35</v>
      </c>
      <c r="E24" s="128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</row>
    <row r="25" spans="1:31" ht="14.25" x14ac:dyDescent="0.2">
      <c r="A25" s="131" t="str">
        <f>"Processus 1: "&amp;B4</f>
        <v>Processus 1: Analyser le marché</v>
      </c>
      <c r="B25" s="137" t="s">
        <v>36</v>
      </c>
      <c r="C25" s="137" t="s">
        <v>37</v>
      </c>
      <c r="D25" s="137" t="s">
        <v>36</v>
      </c>
      <c r="E25" s="12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</row>
    <row r="26" spans="1:31" ht="14.25" x14ac:dyDescent="0.2">
      <c r="A26" s="138" t="str">
        <f>"Processus 2: "&amp;B5</f>
        <v>Processus 2: Concevoir des voitures</v>
      </c>
      <c r="B26" s="136" t="s">
        <v>37</v>
      </c>
      <c r="C26" s="136" t="s">
        <v>37</v>
      </c>
      <c r="D26" s="136" t="s">
        <v>36</v>
      </c>
      <c r="E26" s="12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</row>
    <row r="27" spans="1:31" ht="14.25" x14ac:dyDescent="0.2">
      <c r="A27" s="131" t="str">
        <f>"Processus 3: "&amp;B6</f>
        <v>Processus 3: Contruire des voitures</v>
      </c>
      <c r="B27" s="137" t="s">
        <v>38</v>
      </c>
      <c r="C27" s="137" t="s">
        <v>39</v>
      </c>
      <c r="D27" s="137" t="s">
        <v>36</v>
      </c>
      <c r="E27" s="12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</row>
    <row r="28" spans="1:31" ht="14.25" x14ac:dyDescent="0.2">
      <c r="A28" s="138" t="str">
        <f>"Processus 4: "&amp;B7</f>
        <v xml:space="preserve">Processus 4: </v>
      </c>
      <c r="B28" s="136"/>
      <c r="C28" s="136"/>
      <c r="D28" s="136"/>
      <c r="E28" s="12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</row>
    <row r="29" spans="1:31" ht="45" x14ac:dyDescent="0.2">
      <c r="A29" s="127" t="s">
        <v>40</v>
      </c>
      <c r="B29" s="127" t="s">
        <v>41</v>
      </c>
      <c r="C29" s="127" t="s">
        <v>42</v>
      </c>
      <c r="D29" s="127" t="s">
        <v>43</v>
      </c>
      <c r="E29" s="128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</row>
    <row r="30" spans="1:31" ht="14.25" x14ac:dyDescent="0.2">
      <c r="A30" s="131" t="str">
        <f>"Famille de données 1: "&amp;B9</f>
        <v>Famille de données 1: Données marché</v>
      </c>
      <c r="B30" s="137" t="s">
        <v>39</v>
      </c>
      <c r="C30" s="137" t="s">
        <v>36</v>
      </c>
      <c r="D30" s="137" t="s">
        <v>36</v>
      </c>
      <c r="E30" s="12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</row>
    <row r="31" spans="1:31" ht="14.25" x14ac:dyDescent="0.2">
      <c r="A31" s="138" t="str">
        <f>"Famille de données 2: "&amp;B10</f>
        <v>Famille de données 2: Données R&amp;D</v>
      </c>
      <c r="B31" s="136" t="s">
        <v>39</v>
      </c>
      <c r="C31" s="136" t="s">
        <v>39</v>
      </c>
      <c r="D31" s="136" t="s">
        <v>36</v>
      </c>
      <c r="E31" s="12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</row>
    <row r="32" spans="1:31" ht="14.25" x14ac:dyDescent="0.2">
      <c r="A32" s="131" t="str">
        <f>"Famille de données 3: "&amp;B11</f>
        <v>Famille de données 3: Spécifications techniques</v>
      </c>
      <c r="B32" s="137" t="s">
        <v>36</v>
      </c>
      <c r="C32" s="137" t="s">
        <v>36</v>
      </c>
      <c r="D32" s="137" t="s">
        <v>36</v>
      </c>
      <c r="E32" s="12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</row>
    <row r="33" spans="1:31" ht="14.25" x14ac:dyDescent="0.2">
      <c r="A33" s="138" t="str">
        <f>"Famille de données 4: "&amp;B12</f>
        <v xml:space="preserve">Famille de données 4: </v>
      </c>
      <c r="B33" s="136"/>
      <c r="C33" s="136"/>
      <c r="D33" s="136"/>
      <c r="E33" s="12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</row>
    <row r="34" spans="1:31" ht="15" x14ac:dyDescent="0.25">
      <c r="A34" s="118"/>
      <c r="B34" s="118"/>
      <c r="C34" s="118"/>
      <c r="D34" s="118"/>
      <c r="E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</row>
    <row r="35" spans="1:31" ht="14.25" x14ac:dyDescent="0.2">
      <c r="E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</row>
    <row r="36" spans="1:31" ht="14.25" x14ac:dyDescent="0.2">
      <c r="E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</row>
    <row r="37" spans="1:31" ht="15" x14ac:dyDescent="0.25">
      <c r="A37" s="156"/>
      <c r="B37" s="157" t="s">
        <v>38</v>
      </c>
      <c r="C37" s="158" t="s">
        <v>36</v>
      </c>
      <c r="D37" s="159" t="s">
        <v>37</v>
      </c>
      <c r="E37" s="160" t="s">
        <v>39</v>
      </c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</row>
    <row r="38" spans="1:31" ht="165" x14ac:dyDescent="0.2">
      <c r="A38" s="161" t="s">
        <v>452</v>
      </c>
      <c r="B38" s="162" t="s">
        <v>453</v>
      </c>
      <c r="C38" s="163" t="s">
        <v>454</v>
      </c>
      <c r="D38" s="163" t="s">
        <v>455</v>
      </c>
      <c r="E38" s="163" t="s">
        <v>456</v>
      </c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</row>
    <row r="39" spans="1:31" ht="90" x14ac:dyDescent="0.2">
      <c r="A39" s="164" t="s">
        <v>457</v>
      </c>
      <c r="B39" s="165" t="s">
        <v>458</v>
      </c>
      <c r="C39" s="166" t="s">
        <v>459</v>
      </c>
      <c r="D39" s="166" t="s">
        <v>460</v>
      </c>
      <c r="E39" s="166" t="s">
        <v>461</v>
      </c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</row>
    <row r="40" spans="1:31" ht="105" x14ac:dyDescent="0.2">
      <c r="A40" s="164" t="s">
        <v>462</v>
      </c>
      <c r="B40" s="165" t="s">
        <v>463</v>
      </c>
      <c r="C40" s="166" t="s">
        <v>464</v>
      </c>
      <c r="D40" s="166" t="s">
        <v>465</v>
      </c>
      <c r="E40" s="166" t="s">
        <v>466</v>
      </c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</row>
    <row r="41" spans="1:31" ht="90" x14ac:dyDescent="0.2">
      <c r="A41" s="164" t="s">
        <v>467</v>
      </c>
      <c r="B41" s="165" t="s">
        <v>468</v>
      </c>
      <c r="C41" s="165" t="s">
        <v>469</v>
      </c>
      <c r="D41" s="167" t="s">
        <v>470</v>
      </c>
      <c r="E41" s="167" t="s">
        <v>471</v>
      </c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</row>
    <row r="42" spans="1:31" ht="14.25" x14ac:dyDescent="0.2"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</row>
    <row r="43" spans="1:31" ht="14.25" x14ac:dyDescent="0.2"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</row>
    <row r="44" spans="1:31" ht="14.25" x14ac:dyDescent="0.2"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</row>
    <row r="45" spans="1:31" ht="14.25" x14ac:dyDescent="0.2"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</row>
    <row r="46" spans="1:31" ht="14.25" x14ac:dyDescent="0.2"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</row>
    <row r="47" spans="1:31" ht="14.25" x14ac:dyDescent="0.2"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</row>
    <row r="48" spans="1:31" ht="14.25" x14ac:dyDescent="0.2"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</row>
    <row r="49" spans="1:31" ht="14.25" x14ac:dyDescent="0.2"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</row>
    <row r="50" spans="1:31" ht="14.25" x14ac:dyDescent="0.2"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</row>
    <row r="51" spans="1:31" ht="14.25" x14ac:dyDescent="0.2"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</row>
    <row r="52" spans="1:31" ht="14.25" x14ac:dyDescent="0.2"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</row>
    <row r="53" spans="1:31" ht="14.25" x14ac:dyDescent="0.2"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</row>
    <row r="54" spans="1:31" ht="14.25" x14ac:dyDescent="0.2"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</row>
    <row r="55" spans="1:31" ht="14.25" x14ac:dyDescent="0.2"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</row>
    <row r="56" spans="1:31" ht="14.25" x14ac:dyDescent="0.2"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</row>
    <row r="57" spans="1:31" ht="14.25" x14ac:dyDescent="0.2"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</row>
    <row r="58" spans="1:31" ht="14.25" x14ac:dyDescent="0.2"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</row>
    <row r="59" spans="1:31" ht="14.25" x14ac:dyDescent="0.2"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</row>
    <row r="60" spans="1:31" ht="15" x14ac:dyDescent="0.25">
      <c r="A60" s="118"/>
      <c r="B60" s="118"/>
      <c r="C60" s="118"/>
      <c r="D60" s="118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</row>
    <row r="61" spans="1:31" ht="15" x14ac:dyDescent="0.25">
      <c r="A61" s="118"/>
      <c r="B61" s="118"/>
      <c r="C61" s="118"/>
      <c r="D61" s="118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</row>
    <row r="62" spans="1:31" ht="15" x14ac:dyDescent="0.25">
      <c r="A62" s="118"/>
      <c r="B62" s="118"/>
      <c r="C62" s="118"/>
      <c r="D62" s="118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</row>
    <row r="63" spans="1:31" ht="15" x14ac:dyDescent="0.25">
      <c r="A63" s="118"/>
      <c r="B63" s="118"/>
      <c r="C63" s="118"/>
      <c r="D63" s="118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</row>
    <row r="64" spans="1:31" ht="15" x14ac:dyDescent="0.25">
      <c r="A64" s="118"/>
      <c r="B64" s="118"/>
      <c r="C64" s="118"/>
      <c r="D64" s="118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</row>
    <row r="65" spans="1:31" ht="15" x14ac:dyDescent="0.25">
      <c r="A65" s="119"/>
      <c r="B65" s="130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</row>
    <row r="66" spans="1:31" ht="14.25" x14ac:dyDescent="0.2">
      <c r="A66" s="119"/>
      <c r="B66" s="119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</row>
    <row r="67" spans="1:31" ht="14.25" x14ac:dyDescent="0.2">
      <c r="A67" s="119"/>
      <c r="B67" s="119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</row>
    <row r="68" spans="1:31" ht="14.25" x14ac:dyDescent="0.2">
      <c r="A68" s="119"/>
      <c r="B68" s="119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</row>
    <row r="69" spans="1:31" ht="14.25" x14ac:dyDescent="0.2">
      <c r="A69" s="119"/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</row>
    <row r="70" spans="1:31" ht="14.25" x14ac:dyDescent="0.2">
      <c r="A70" s="119"/>
      <c r="B70" s="119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</row>
    <row r="71" spans="1:31" ht="14.25" x14ac:dyDescent="0.2">
      <c r="A71" s="119"/>
      <c r="B71" s="119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</row>
    <row r="72" spans="1:31" ht="14.25" x14ac:dyDescent="0.2">
      <c r="A72" s="119"/>
      <c r="B72" s="119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</row>
    <row r="73" spans="1:31" ht="14.25" x14ac:dyDescent="0.2">
      <c r="A73" s="119"/>
      <c r="B73" s="119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</row>
    <row r="74" spans="1:31" ht="14.25" x14ac:dyDescent="0.2">
      <c r="A74" s="119"/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</row>
    <row r="75" spans="1:31" ht="14.25" x14ac:dyDescent="0.2">
      <c r="A75" s="119"/>
      <c r="B75" s="119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</row>
    <row r="76" spans="1:31" ht="14.25" x14ac:dyDescent="0.2">
      <c r="A76" s="119"/>
      <c r="B76" s="119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</row>
    <row r="77" spans="1:31" ht="14.25" x14ac:dyDescent="0.2">
      <c r="A77" s="119"/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</row>
    <row r="78" spans="1:31" ht="14.25" x14ac:dyDescent="0.2">
      <c r="A78" s="119"/>
      <c r="B78" s="119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</row>
    <row r="79" spans="1:31" ht="14.25" x14ac:dyDescent="0.2">
      <c r="A79" s="119"/>
      <c r="B79" s="119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</row>
    <row r="80" spans="1:31" ht="14.25" x14ac:dyDescent="0.2">
      <c r="A80" s="119"/>
      <c r="B80" s="119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</row>
    <row r="81" spans="1:31" ht="14.25" x14ac:dyDescent="0.2">
      <c r="A81" s="119"/>
      <c r="B81" s="119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</row>
    <row r="82" spans="1:31" ht="14.25" x14ac:dyDescent="0.2">
      <c r="A82" s="119"/>
      <c r="B82" s="119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</row>
    <row r="83" spans="1:31" ht="14.25" x14ac:dyDescent="0.2">
      <c r="A83" s="119"/>
      <c r="B83" s="119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</row>
    <row r="84" spans="1:31" ht="14.25" x14ac:dyDescent="0.2">
      <c r="A84" s="119"/>
      <c r="B84" s="119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</row>
    <row r="85" spans="1:31" ht="14.25" x14ac:dyDescent="0.2">
      <c r="A85" s="119"/>
      <c r="B85" s="119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</row>
    <row r="86" spans="1:31" ht="14.25" x14ac:dyDescent="0.2">
      <c r="A86" s="119"/>
      <c r="B86" s="119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</row>
    <row r="87" spans="1:31" ht="14.25" x14ac:dyDescent="0.2">
      <c r="A87" s="119"/>
      <c r="B87" s="119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</row>
    <row r="88" spans="1:31" ht="14.25" x14ac:dyDescent="0.2">
      <c r="A88" s="119"/>
      <c r="B88" s="119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</row>
    <row r="89" spans="1:31" ht="14.25" x14ac:dyDescent="0.2">
      <c r="A89" s="119"/>
      <c r="B89" s="119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</row>
    <row r="90" spans="1:31" ht="14.25" x14ac:dyDescent="0.2">
      <c r="A90" s="119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</row>
    <row r="91" spans="1:31" ht="14.25" x14ac:dyDescent="0.2">
      <c r="A91" s="119"/>
      <c r="B91" s="119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</row>
    <row r="92" spans="1:31" ht="14.25" x14ac:dyDescent="0.2">
      <c r="A92" s="119"/>
      <c r="B92" s="119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</row>
    <row r="93" spans="1:31" ht="14.25" x14ac:dyDescent="0.2">
      <c r="A93" s="119"/>
      <c r="B93" s="119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</row>
    <row r="94" spans="1:31" ht="14.25" x14ac:dyDescent="0.2">
      <c r="A94" s="119"/>
      <c r="B94" s="119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</row>
    <row r="95" spans="1:31" ht="14.25" x14ac:dyDescent="0.2">
      <c r="A95" s="119"/>
      <c r="B95" s="119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</row>
    <row r="96" spans="1:31" ht="14.25" x14ac:dyDescent="0.2">
      <c r="A96" s="119"/>
      <c r="B96" s="119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</row>
    <row r="97" spans="1:31" ht="14.25" x14ac:dyDescent="0.2">
      <c r="A97" s="119"/>
      <c r="B97" s="119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</row>
    <row r="98" spans="1:31" ht="14.25" x14ac:dyDescent="0.2">
      <c r="A98" s="119"/>
      <c r="B98" s="119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</row>
    <row r="99" spans="1:31" ht="14.25" x14ac:dyDescent="0.2">
      <c r="A99" s="119"/>
      <c r="B99" s="119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</row>
    <row r="100" spans="1:31" ht="14.25" x14ac:dyDescent="0.2">
      <c r="A100" s="119"/>
      <c r="B100" s="119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</row>
    <row r="101" spans="1:31" ht="14.25" x14ac:dyDescent="0.2">
      <c r="A101" s="119"/>
      <c r="B101" s="119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</row>
    <row r="102" spans="1:31" ht="14.25" x14ac:dyDescent="0.2">
      <c r="A102" s="119"/>
      <c r="B102" s="119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</row>
    <row r="103" spans="1:31" ht="14.25" x14ac:dyDescent="0.2">
      <c r="A103" s="119"/>
      <c r="B103" s="119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</row>
    <row r="104" spans="1:31" ht="14.25" x14ac:dyDescent="0.2">
      <c r="A104" s="119"/>
      <c r="B104" s="119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</row>
    <row r="105" spans="1:31" ht="14.25" x14ac:dyDescent="0.2">
      <c r="A105" s="119"/>
      <c r="B105" s="119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</row>
    <row r="106" spans="1:31" ht="14.25" x14ac:dyDescent="0.2">
      <c r="A106" s="119"/>
      <c r="B106" s="119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</row>
    <row r="107" spans="1:31" ht="14.25" x14ac:dyDescent="0.2">
      <c r="A107" s="119"/>
      <c r="B107" s="119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</row>
    <row r="108" spans="1:31" ht="14.25" x14ac:dyDescent="0.2">
      <c r="A108" s="119"/>
      <c r="B108" s="119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</row>
    <row r="109" spans="1:31" ht="14.25" x14ac:dyDescent="0.2">
      <c r="A109" s="119"/>
      <c r="B109" s="119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</row>
    <row r="110" spans="1:31" ht="14.25" x14ac:dyDescent="0.2">
      <c r="A110" s="119"/>
      <c r="B110" s="119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</row>
    <row r="111" spans="1:31" ht="14.25" x14ac:dyDescent="0.2">
      <c r="A111" s="119"/>
      <c r="B111" s="119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</row>
    <row r="112" spans="1:31" ht="14.25" x14ac:dyDescent="0.2">
      <c r="A112" s="119"/>
      <c r="B112" s="119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</row>
    <row r="113" spans="1:31" ht="14.25" x14ac:dyDescent="0.2">
      <c r="A113" s="119"/>
      <c r="B113" s="119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</row>
    <row r="114" spans="1:31" ht="14.25" x14ac:dyDescent="0.2">
      <c r="A114" s="119"/>
      <c r="B114" s="119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</row>
    <row r="115" spans="1:31" ht="14.25" x14ac:dyDescent="0.2">
      <c r="A115" s="119"/>
      <c r="B115" s="119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</row>
    <row r="116" spans="1:31" ht="14.25" x14ac:dyDescent="0.2">
      <c r="A116" s="119"/>
      <c r="B116" s="119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</row>
    <row r="117" spans="1:31" ht="14.25" x14ac:dyDescent="0.2">
      <c r="A117" s="119"/>
      <c r="B117" s="119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</row>
    <row r="118" spans="1:31" ht="14.25" x14ac:dyDescent="0.2">
      <c r="A118" s="119"/>
      <c r="B118" s="119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</row>
    <row r="119" spans="1:31" ht="14.25" x14ac:dyDescent="0.2">
      <c r="A119" s="119"/>
      <c r="B119" s="119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</row>
    <row r="120" spans="1:31" ht="14.25" x14ac:dyDescent="0.2">
      <c r="A120" s="119"/>
      <c r="B120" s="119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</row>
    <row r="121" spans="1:31" ht="14.25" x14ac:dyDescent="0.2">
      <c r="A121" s="119"/>
      <c r="B121" s="119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</row>
    <row r="122" spans="1:31" ht="14.25" x14ac:dyDescent="0.2">
      <c r="A122" s="119"/>
      <c r="B122" s="119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</row>
    <row r="123" spans="1:31" ht="14.25" x14ac:dyDescent="0.2">
      <c r="A123" s="119"/>
      <c r="B123" s="119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</row>
    <row r="124" spans="1:31" ht="14.25" x14ac:dyDescent="0.2">
      <c r="A124" s="119"/>
      <c r="B124" s="119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</row>
    <row r="125" spans="1:31" ht="14.25" x14ac:dyDescent="0.2">
      <c r="A125" s="119"/>
      <c r="B125" s="119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</row>
    <row r="126" spans="1:31" ht="14.25" x14ac:dyDescent="0.2">
      <c r="A126" s="119"/>
      <c r="B126" s="119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</row>
    <row r="127" spans="1:31" ht="14.25" x14ac:dyDescent="0.2">
      <c r="A127" s="119"/>
      <c r="B127" s="119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</row>
    <row r="128" spans="1:31" ht="14.25" x14ac:dyDescent="0.2">
      <c r="A128" s="119"/>
      <c r="B128" s="119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</row>
    <row r="129" spans="1:31" ht="14.25" x14ac:dyDescent="0.2">
      <c r="A129" s="119"/>
      <c r="B129" s="119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</row>
    <row r="130" spans="1:31" ht="14.25" x14ac:dyDescent="0.2">
      <c r="A130" s="119"/>
      <c r="B130" s="119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</row>
    <row r="131" spans="1:31" ht="14.25" x14ac:dyDescent="0.2">
      <c r="A131" s="119"/>
      <c r="B131" s="119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</row>
    <row r="132" spans="1:31" ht="14.25" x14ac:dyDescent="0.2">
      <c r="A132" s="119"/>
      <c r="B132" s="119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</row>
    <row r="133" spans="1:31" ht="14.25" x14ac:dyDescent="0.2">
      <c r="A133" s="119"/>
      <c r="B133" s="119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</row>
    <row r="134" spans="1:31" ht="14.25" x14ac:dyDescent="0.2">
      <c r="A134" s="119"/>
      <c r="B134" s="119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</row>
    <row r="135" spans="1:31" ht="14.25" x14ac:dyDescent="0.2">
      <c r="A135" s="119"/>
      <c r="B135" s="119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</row>
    <row r="136" spans="1:31" ht="14.25" x14ac:dyDescent="0.2">
      <c r="A136" s="119"/>
      <c r="B136" s="119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</row>
    <row r="137" spans="1:31" ht="14.25" x14ac:dyDescent="0.2">
      <c r="A137" s="119"/>
      <c r="B137" s="119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</row>
    <row r="138" spans="1:31" ht="14.25" x14ac:dyDescent="0.2">
      <c r="A138" s="119"/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</row>
    <row r="139" spans="1:31" ht="14.25" x14ac:dyDescent="0.2">
      <c r="A139" s="119"/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</row>
    <row r="140" spans="1:31" ht="14.25" x14ac:dyDescent="0.2">
      <c r="A140" s="119"/>
      <c r="B140" s="119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</row>
    <row r="141" spans="1:31" ht="14.25" x14ac:dyDescent="0.2">
      <c r="A141" s="119"/>
      <c r="B141" s="119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</row>
    <row r="142" spans="1:31" ht="14.25" x14ac:dyDescent="0.2">
      <c r="A142" s="119"/>
      <c r="B142" s="119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</row>
    <row r="143" spans="1:31" ht="14.25" x14ac:dyDescent="0.2">
      <c r="A143" s="119"/>
      <c r="B143" s="119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</row>
    <row r="144" spans="1:31" ht="14.25" x14ac:dyDescent="0.2">
      <c r="A144" s="119"/>
      <c r="B144" s="119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</row>
    <row r="145" spans="1:31" ht="14.25" x14ac:dyDescent="0.2">
      <c r="A145" s="119"/>
      <c r="B145" s="119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</row>
    <row r="146" spans="1:31" ht="14.25" x14ac:dyDescent="0.2">
      <c r="A146" s="119"/>
      <c r="B146" s="119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</row>
    <row r="147" spans="1:31" ht="14.25" x14ac:dyDescent="0.2">
      <c r="A147" s="119"/>
      <c r="B147" s="119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</row>
    <row r="148" spans="1:31" ht="14.25" x14ac:dyDescent="0.2">
      <c r="A148" s="119"/>
      <c r="B148" s="119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</row>
    <row r="149" spans="1:31" ht="14.25" x14ac:dyDescent="0.2">
      <c r="A149" s="119"/>
      <c r="B149" s="119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</row>
    <row r="150" spans="1:31" ht="14.25" x14ac:dyDescent="0.2">
      <c r="A150" s="119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</row>
    <row r="151" spans="1:31" ht="14.25" x14ac:dyDescent="0.2">
      <c r="A151" s="119"/>
      <c r="B151" s="119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</row>
    <row r="152" spans="1:31" ht="14.25" x14ac:dyDescent="0.2">
      <c r="A152" s="119"/>
      <c r="B152" s="119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</row>
    <row r="153" spans="1:31" ht="14.25" x14ac:dyDescent="0.2">
      <c r="A153" s="119"/>
      <c r="B153" s="119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</row>
    <row r="154" spans="1:31" ht="14.25" x14ac:dyDescent="0.2">
      <c r="A154" s="119"/>
      <c r="B154" s="119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</row>
    <row r="155" spans="1:31" ht="14.25" x14ac:dyDescent="0.2">
      <c r="A155" s="119"/>
      <c r="B155" s="119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</row>
    <row r="156" spans="1:31" ht="14.25" x14ac:dyDescent="0.2">
      <c r="A156" s="119"/>
      <c r="B156" s="119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</row>
    <row r="157" spans="1:31" ht="14.25" x14ac:dyDescent="0.2">
      <c r="A157" s="119"/>
      <c r="B157" s="119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</row>
    <row r="158" spans="1:31" ht="14.25" x14ac:dyDescent="0.2">
      <c r="A158" s="119"/>
      <c r="B158" s="119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</row>
    <row r="159" spans="1:31" ht="14.25" x14ac:dyDescent="0.2">
      <c r="A159" s="119"/>
      <c r="B159" s="119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</row>
    <row r="160" spans="1:31" ht="14.25" x14ac:dyDescent="0.2">
      <c r="A160" s="119"/>
      <c r="B160" s="119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</row>
    <row r="161" spans="1:31" ht="14.25" x14ac:dyDescent="0.2">
      <c r="A161" s="119"/>
      <c r="B161" s="119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</row>
    <row r="162" spans="1:31" ht="14.25" x14ac:dyDescent="0.2">
      <c r="A162" s="119"/>
      <c r="B162" s="119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</row>
    <row r="163" spans="1:31" ht="14.25" x14ac:dyDescent="0.2">
      <c r="A163" s="119"/>
      <c r="B163" s="119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</row>
    <row r="164" spans="1:31" ht="14.25" x14ac:dyDescent="0.2">
      <c r="A164" s="119"/>
      <c r="B164" s="119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</row>
    <row r="165" spans="1:31" ht="14.25" x14ac:dyDescent="0.2">
      <c r="A165" s="119"/>
      <c r="B165" s="119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</row>
    <row r="166" spans="1:31" ht="14.25" x14ac:dyDescent="0.2">
      <c r="A166" s="119"/>
      <c r="B166" s="119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</row>
    <row r="167" spans="1:31" ht="14.25" x14ac:dyDescent="0.2">
      <c r="A167" s="119"/>
      <c r="B167" s="119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</row>
    <row r="168" spans="1:31" ht="14.25" x14ac:dyDescent="0.2">
      <c r="A168" s="119"/>
      <c r="B168" s="119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</row>
    <row r="169" spans="1:31" ht="14.25" x14ac:dyDescent="0.2">
      <c r="A169" s="119"/>
      <c r="B169" s="119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</row>
    <row r="170" spans="1:31" ht="14.25" x14ac:dyDescent="0.2">
      <c r="A170" s="119"/>
      <c r="B170" s="119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</row>
    <row r="171" spans="1:31" ht="14.25" x14ac:dyDescent="0.2">
      <c r="A171" s="119"/>
      <c r="B171" s="119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</row>
    <row r="172" spans="1:31" ht="14.25" x14ac:dyDescent="0.2">
      <c r="A172" s="119"/>
      <c r="B172" s="119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</row>
    <row r="173" spans="1:31" ht="14.25" x14ac:dyDescent="0.2">
      <c r="A173" s="119"/>
      <c r="B173" s="119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</row>
    <row r="174" spans="1:31" ht="14.25" x14ac:dyDescent="0.2">
      <c r="A174" s="119"/>
      <c r="B174" s="119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</row>
    <row r="175" spans="1:31" ht="14.25" x14ac:dyDescent="0.2">
      <c r="A175" s="119"/>
      <c r="B175" s="119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</row>
    <row r="176" spans="1:31" ht="14.25" x14ac:dyDescent="0.2">
      <c r="A176" s="119"/>
      <c r="B176" s="119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</row>
    <row r="177" spans="1:31" ht="14.25" x14ac:dyDescent="0.2">
      <c r="A177" s="119"/>
      <c r="B177" s="119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</row>
    <row r="178" spans="1:31" ht="14.25" x14ac:dyDescent="0.2">
      <c r="A178" s="119"/>
      <c r="B178" s="119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</row>
    <row r="179" spans="1:31" ht="14.25" x14ac:dyDescent="0.2">
      <c r="A179" s="119"/>
      <c r="B179" s="119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</row>
    <row r="180" spans="1:31" ht="14.25" x14ac:dyDescent="0.2">
      <c r="A180" s="119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</row>
    <row r="181" spans="1:31" ht="14.25" x14ac:dyDescent="0.2">
      <c r="A181" s="119"/>
      <c r="B181" s="119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</row>
    <row r="182" spans="1:31" ht="14.25" x14ac:dyDescent="0.2">
      <c r="A182" s="119"/>
      <c r="B182" s="119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</row>
    <row r="183" spans="1:31" ht="14.25" x14ac:dyDescent="0.2">
      <c r="A183" s="119"/>
      <c r="B183" s="119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</row>
    <row r="184" spans="1:31" ht="14.25" x14ac:dyDescent="0.2">
      <c r="A184" s="119"/>
      <c r="B184" s="119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</row>
    <row r="185" spans="1:31" ht="14.25" x14ac:dyDescent="0.2">
      <c r="A185" s="119"/>
      <c r="B185" s="119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</row>
    <row r="186" spans="1:31" ht="14.25" x14ac:dyDescent="0.2">
      <c r="A186" s="119"/>
      <c r="B186" s="119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</row>
    <row r="187" spans="1:31" ht="14.25" x14ac:dyDescent="0.2">
      <c r="A187" s="119"/>
      <c r="B187" s="119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</row>
    <row r="188" spans="1:31" ht="14.25" x14ac:dyDescent="0.2">
      <c r="A188" s="119"/>
      <c r="B188" s="119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</row>
    <row r="189" spans="1:31" ht="14.25" x14ac:dyDescent="0.2">
      <c r="A189" s="119"/>
      <c r="B189" s="119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</row>
    <row r="190" spans="1:31" ht="14.25" x14ac:dyDescent="0.2">
      <c r="A190" s="119"/>
      <c r="B190" s="119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</row>
    <row r="191" spans="1:31" ht="14.25" x14ac:dyDescent="0.2">
      <c r="A191" s="119"/>
      <c r="B191" s="119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</row>
    <row r="192" spans="1:31" ht="14.25" x14ac:dyDescent="0.2">
      <c r="A192" s="119"/>
      <c r="B192" s="119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</row>
    <row r="193" spans="1:31" ht="14.25" x14ac:dyDescent="0.2">
      <c r="A193" s="119"/>
      <c r="B193" s="119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</row>
    <row r="194" spans="1:31" ht="14.25" x14ac:dyDescent="0.2">
      <c r="A194" s="119"/>
      <c r="B194" s="119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</row>
    <row r="195" spans="1:31" ht="14.25" x14ac:dyDescent="0.2">
      <c r="A195" s="119"/>
      <c r="B195" s="119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</row>
    <row r="196" spans="1:31" ht="14.25" x14ac:dyDescent="0.2">
      <c r="A196" s="119"/>
      <c r="B196" s="119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</row>
    <row r="197" spans="1:31" ht="14.25" x14ac:dyDescent="0.2">
      <c r="A197" s="119"/>
      <c r="B197" s="119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</row>
    <row r="198" spans="1:31" ht="14.25" x14ac:dyDescent="0.2">
      <c r="A198" s="119"/>
      <c r="B198" s="119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</row>
    <row r="199" spans="1:31" ht="14.25" x14ac:dyDescent="0.2">
      <c r="A199" s="119"/>
      <c r="B199" s="119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</row>
    <row r="200" spans="1:31" ht="14.25" x14ac:dyDescent="0.2">
      <c r="A200" s="119"/>
      <c r="B200" s="119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</row>
    <row r="201" spans="1:31" ht="14.25" x14ac:dyDescent="0.2">
      <c r="A201" s="119"/>
      <c r="B201" s="119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</row>
    <row r="202" spans="1:31" ht="14.25" x14ac:dyDescent="0.2">
      <c r="A202" s="119"/>
      <c r="B202" s="119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</row>
    <row r="203" spans="1:31" ht="14.25" x14ac:dyDescent="0.2">
      <c r="A203" s="119"/>
      <c r="B203" s="119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</row>
    <row r="204" spans="1:31" ht="14.25" x14ac:dyDescent="0.2">
      <c r="A204" s="119"/>
      <c r="B204" s="119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</row>
    <row r="205" spans="1:31" ht="14.25" x14ac:dyDescent="0.2">
      <c r="A205" s="119"/>
      <c r="B205" s="119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</row>
    <row r="206" spans="1:31" ht="14.25" x14ac:dyDescent="0.2">
      <c r="A206" s="119"/>
      <c r="B206" s="119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</row>
    <row r="207" spans="1:31" ht="14.25" x14ac:dyDescent="0.2">
      <c r="A207" s="119"/>
      <c r="B207" s="119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</row>
    <row r="208" spans="1:31" ht="14.25" x14ac:dyDescent="0.2">
      <c r="A208" s="119"/>
      <c r="B208" s="119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</row>
    <row r="209" spans="1:31" ht="14.25" x14ac:dyDescent="0.2">
      <c r="A209" s="119"/>
      <c r="B209" s="119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</row>
    <row r="210" spans="1:31" ht="14.25" x14ac:dyDescent="0.2">
      <c r="A210" s="119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</row>
    <row r="211" spans="1:31" ht="14.25" x14ac:dyDescent="0.2">
      <c r="A211" s="119"/>
      <c r="B211" s="119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</row>
    <row r="212" spans="1:31" ht="14.25" x14ac:dyDescent="0.2">
      <c r="A212" s="119"/>
      <c r="B212" s="119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</row>
    <row r="213" spans="1:31" ht="14.25" x14ac:dyDescent="0.2">
      <c r="A213" s="119"/>
      <c r="B213" s="119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</row>
    <row r="214" spans="1:31" ht="14.25" x14ac:dyDescent="0.2">
      <c r="A214" s="119"/>
      <c r="B214" s="119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</row>
    <row r="215" spans="1:31" ht="14.25" x14ac:dyDescent="0.2">
      <c r="A215" s="119"/>
      <c r="B215" s="119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</row>
    <row r="216" spans="1:31" ht="14.25" x14ac:dyDescent="0.2">
      <c r="A216" s="119"/>
      <c r="B216" s="119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</row>
    <row r="217" spans="1:31" ht="14.25" x14ac:dyDescent="0.2">
      <c r="A217" s="119"/>
      <c r="B217" s="119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</row>
    <row r="218" spans="1:31" ht="14.25" x14ac:dyDescent="0.2">
      <c r="A218" s="119"/>
      <c r="B218" s="119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</row>
    <row r="219" spans="1:31" ht="14.25" x14ac:dyDescent="0.2">
      <c r="A219" s="119"/>
      <c r="B219" s="119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</row>
    <row r="220" spans="1:31" ht="14.25" x14ac:dyDescent="0.2">
      <c r="A220" s="119"/>
      <c r="B220" s="119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</row>
    <row r="221" spans="1:31" ht="14.25" x14ac:dyDescent="0.2">
      <c r="A221" s="119"/>
      <c r="B221" s="119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</row>
    <row r="222" spans="1:31" ht="14.25" x14ac:dyDescent="0.2">
      <c r="A222" s="119"/>
      <c r="B222" s="119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</row>
    <row r="223" spans="1:31" ht="14.25" x14ac:dyDescent="0.2">
      <c r="A223" s="119"/>
      <c r="B223" s="119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</row>
    <row r="224" spans="1:31" ht="14.25" x14ac:dyDescent="0.2">
      <c r="A224" s="119"/>
      <c r="B224" s="119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</row>
    <row r="225" spans="1:31" ht="14.25" x14ac:dyDescent="0.2">
      <c r="A225" s="119"/>
      <c r="B225" s="119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</row>
    <row r="226" spans="1:31" ht="14.25" x14ac:dyDescent="0.2">
      <c r="A226" s="119"/>
      <c r="B226" s="119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</row>
    <row r="227" spans="1:31" ht="14.25" x14ac:dyDescent="0.2">
      <c r="A227" s="119"/>
      <c r="B227" s="119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</row>
    <row r="228" spans="1:31" ht="14.25" x14ac:dyDescent="0.2">
      <c r="A228" s="119"/>
      <c r="B228" s="119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</row>
    <row r="229" spans="1:31" ht="14.25" x14ac:dyDescent="0.2">
      <c r="A229" s="119"/>
      <c r="B229" s="119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</row>
    <row r="230" spans="1:31" ht="14.25" x14ac:dyDescent="0.2">
      <c r="A230" s="119"/>
      <c r="B230" s="119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</row>
    <row r="231" spans="1:31" ht="14.25" x14ac:dyDescent="0.2">
      <c r="A231" s="119"/>
      <c r="B231" s="119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</row>
    <row r="232" spans="1:31" ht="14.25" x14ac:dyDescent="0.2">
      <c r="A232" s="119"/>
      <c r="B232" s="119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</row>
    <row r="233" spans="1:31" ht="14.25" x14ac:dyDescent="0.2">
      <c r="A233" s="119"/>
      <c r="B233" s="119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</row>
    <row r="234" spans="1:31" ht="14.25" x14ac:dyDescent="0.2">
      <c r="A234" s="119"/>
      <c r="B234" s="119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</row>
    <row r="235" spans="1:31" ht="14.25" x14ac:dyDescent="0.2">
      <c r="A235" s="119"/>
      <c r="B235" s="119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</row>
    <row r="236" spans="1:31" ht="14.25" x14ac:dyDescent="0.2">
      <c r="A236" s="119"/>
      <c r="B236" s="119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</row>
    <row r="237" spans="1:31" ht="14.25" x14ac:dyDescent="0.2">
      <c r="A237" s="119"/>
      <c r="B237" s="119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</row>
    <row r="238" spans="1:31" ht="14.25" x14ac:dyDescent="0.2">
      <c r="A238" s="119"/>
      <c r="B238" s="119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</row>
    <row r="239" spans="1:31" ht="14.25" x14ac:dyDescent="0.2">
      <c r="A239" s="119"/>
      <c r="B239" s="119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</row>
    <row r="240" spans="1:31" ht="14.25" x14ac:dyDescent="0.2">
      <c r="A240" s="119"/>
      <c r="B240" s="119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</row>
    <row r="241" spans="1:31" ht="14.25" x14ac:dyDescent="0.2">
      <c r="A241" s="119"/>
      <c r="B241" s="119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</row>
    <row r="242" spans="1:31" ht="14.25" x14ac:dyDescent="0.2">
      <c r="A242" s="119"/>
      <c r="B242" s="119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</row>
    <row r="243" spans="1:31" ht="14.25" x14ac:dyDescent="0.2">
      <c r="A243" s="119"/>
      <c r="B243" s="119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</row>
    <row r="244" spans="1:31" ht="14.25" x14ac:dyDescent="0.2">
      <c r="A244" s="119"/>
      <c r="B244" s="119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</row>
    <row r="245" spans="1:31" ht="14.25" x14ac:dyDescent="0.2">
      <c r="A245" s="119"/>
      <c r="B245" s="119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</row>
    <row r="246" spans="1:31" ht="14.25" x14ac:dyDescent="0.2">
      <c r="A246" s="119"/>
      <c r="B246" s="119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</row>
    <row r="247" spans="1:31" ht="14.25" x14ac:dyDescent="0.2">
      <c r="A247" s="119"/>
      <c r="B247" s="119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</row>
    <row r="248" spans="1:31" ht="14.25" x14ac:dyDescent="0.2">
      <c r="A248" s="119"/>
      <c r="B248" s="119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</row>
    <row r="249" spans="1:31" ht="14.25" x14ac:dyDescent="0.2">
      <c r="A249" s="119"/>
      <c r="B249" s="119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</row>
    <row r="250" spans="1:31" ht="14.25" x14ac:dyDescent="0.2">
      <c r="A250" s="119"/>
      <c r="B250" s="119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</row>
    <row r="251" spans="1:31" ht="14.25" x14ac:dyDescent="0.2">
      <c r="A251" s="119"/>
      <c r="B251" s="119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</row>
    <row r="252" spans="1:31" ht="14.25" x14ac:dyDescent="0.2">
      <c r="A252" s="119"/>
      <c r="B252" s="119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</row>
    <row r="253" spans="1:31" ht="14.25" x14ac:dyDescent="0.2">
      <c r="A253" s="119"/>
      <c r="B253" s="119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</row>
    <row r="254" spans="1:31" ht="14.25" x14ac:dyDescent="0.2">
      <c r="A254" s="119"/>
      <c r="B254" s="119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</row>
    <row r="255" spans="1:31" ht="14.25" x14ac:dyDescent="0.2">
      <c r="A255" s="119"/>
      <c r="B255" s="119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</row>
    <row r="256" spans="1:31" ht="14.25" x14ac:dyDescent="0.2">
      <c r="A256" s="119"/>
      <c r="B256" s="119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</row>
    <row r="257" spans="1:31" ht="14.25" x14ac:dyDescent="0.2">
      <c r="A257" s="119"/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</row>
    <row r="258" spans="1:31" ht="14.25" x14ac:dyDescent="0.2">
      <c r="A258" s="119"/>
      <c r="B258" s="119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</row>
    <row r="259" spans="1:31" ht="14.25" x14ac:dyDescent="0.2">
      <c r="A259" s="119"/>
      <c r="B259" s="119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</row>
    <row r="260" spans="1:31" ht="14.25" x14ac:dyDescent="0.2">
      <c r="A260" s="119"/>
      <c r="B260" s="119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</row>
    <row r="261" spans="1:31" ht="14.25" x14ac:dyDescent="0.2">
      <c r="A261" s="119"/>
      <c r="B261" s="119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</row>
    <row r="262" spans="1:31" ht="14.25" x14ac:dyDescent="0.2">
      <c r="A262" s="119"/>
      <c r="B262" s="119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</row>
    <row r="263" spans="1:31" ht="14.25" x14ac:dyDescent="0.2">
      <c r="A263" s="119"/>
      <c r="B263" s="119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</row>
    <row r="264" spans="1:31" ht="14.25" x14ac:dyDescent="0.2">
      <c r="A264" s="119"/>
      <c r="B264" s="119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</row>
    <row r="265" spans="1:31" ht="14.25" x14ac:dyDescent="0.2">
      <c r="A265" s="119"/>
      <c r="B265" s="119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</row>
    <row r="266" spans="1:31" ht="14.25" x14ac:dyDescent="0.2">
      <c r="A266" s="119"/>
      <c r="B266" s="119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</row>
    <row r="267" spans="1:31" ht="14.25" x14ac:dyDescent="0.2">
      <c r="A267" s="119"/>
      <c r="B267" s="119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</row>
    <row r="268" spans="1:31" ht="14.25" x14ac:dyDescent="0.2">
      <c r="A268" s="119"/>
      <c r="B268" s="119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</row>
    <row r="269" spans="1:31" ht="14.25" x14ac:dyDescent="0.2">
      <c r="A269" s="119"/>
      <c r="B269" s="119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</row>
    <row r="270" spans="1:31" ht="14.25" x14ac:dyDescent="0.2">
      <c r="A270" s="119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</row>
    <row r="271" spans="1:31" ht="14.25" x14ac:dyDescent="0.2">
      <c r="A271" s="119"/>
      <c r="B271" s="119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</row>
    <row r="272" spans="1:31" ht="14.25" x14ac:dyDescent="0.2">
      <c r="A272" s="119"/>
      <c r="B272" s="119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</row>
    <row r="273" spans="1:31" ht="14.25" x14ac:dyDescent="0.2">
      <c r="A273" s="119"/>
      <c r="B273" s="119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</row>
    <row r="274" spans="1:31" ht="14.25" x14ac:dyDescent="0.2">
      <c r="A274" s="119"/>
      <c r="B274" s="119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</row>
    <row r="275" spans="1:31" ht="14.25" x14ac:dyDescent="0.2">
      <c r="A275" s="119"/>
      <c r="B275" s="119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</row>
    <row r="276" spans="1:31" ht="14.25" x14ac:dyDescent="0.2">
      <c r="A276" s="119"/>
      <c r="B276" s="119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</row>
    <row r="277" spans="1:31" ht="14.25" x14ac:dyDescent="0.2">
      <c r="A277" s="119"/>
      <c r="B277" s="119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</row>
    <row r="278" spans="1:31" ht="14.25" x14ac:dyDescent="0.2">
      <c r="A278" s="119"/>
      <c r="B278" s="119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</row>
    <row r="279" spans="1:31" ht="14.25" x14ac:dyDescent="0.2">
      <c r="A279" s="119"/>
      <c r="B279" s="119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</row>
    <row r="280" spans="1:31" ht="14.25" x14ac:dyDescent="0.2">
      <c r="A280" s="119"/>
      <c r="B280" s="119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</row>
    <row r="281" spans="1:31" ht="14.25" x14ac:dyDescent="0.2">
      <c r="A281" s="119"/>
      <c r="B281" s="119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</row>
    <row r="282" spans="1:31" ht="14.25" x14ac:dyDescent="0.2">
      <c r="A282" s="119"/>
      <c r="B282" s="119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</row>
    <row r="283" spans="1:31" ht="14.25" x14ac:dyDescent="0.2">
      <c r="A283" s="119"/>
      <c r="B283" s="119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</row>
    <row r="284" spans="1:31" ht="14.25" x14ac:dyDescent="0.2">
      <c r="A284" s="119"/>
      <c r="B284" s="119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</row>
    <row r="285" spans="1:31" ht="14.25" x14ac:dyDescent="0.2">
      <c r="A285" s="119"/>
      <c r="B285" s="119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</row>
    <row r="286" spans="1:31" ht="14.25" x14ac:dyDescent="0.2">
      <c r="A286" s="119"/>
      <c r="B286" s="119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</row>
    <row r="287" spans="1:31" ht="14.25" x14ac:dyDescent="0.2">
      <c r="A287" s="119"/>
      <c r="B287" s="119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</row>
    <row r="288" spans="1:31" ht="14.25" x14ac:dyDescent="0.2">
      <c r="A288" s="119"/>
      <c r="B288" s="119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</row>
    <row r="289" spans="1:31" ht="14.25" x14ac:dyDescent="0.2">
      <c r="A289" s="119"/>
      <c r="B289" s="119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</row>
    <row r="290" spans="1:31" ht="14.25" x14ac:dyDescent="0.2">
      <c r="A290" s="119"/>
      <c r="B290" s="119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</row>
    <row r="291" spans="1:31" ht="14.25" x14ac:dyDescent="0.2">
      <c r="A291" s="119"/>
      <c r="B291" s="119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</row>
    <row r="292" spans="1:31" ht="14.25" x14ac:dyDescent="0.2">
      <c r="A292" s="119"/>
      <c r="B292" s="119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</row>
    <row r="293" spans="1:31" ht="14.25" x14ac:dyDescent="0.2">
      <c r="A293" s="119"/>
      <c r="B293" s="119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</row>
    <row r="294" spans="1:31" ht="14.25" x14ac:dyDescent="0.2">
      <c r="A294" s="119"/>
      <c r="B294" s="119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</row>
    <row r="295" spans="1:31" ht="14.25" x14ac:dyDescent="0.2">
      <c r="A295" s="119"/>
      <c r="B295" s="119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</row>
    <row r="296" spans="1:31" ht="14.25" x14ac:dyDescent="0.2">
      <c r="A296" s="119"/>
      <c r="B296" s="119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</row>
    <row r="297" spans="1:31" ht="14.25" x14ac:dyDescent="0.2">
      <c r="A297" s="119"/>
      <c r="B297" s="119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</row>
    <row r="298" spans="1:31" ht="14.25" x14ac:dyDescent="0.2">
      <c r="A298" s="119"/>
      <c r="B298" s="119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</row>
    <row r="299" spans="1:31" ht="14.25" x14ac:dyDescent="0.2">
      <c r="A299" s="119"/>
      <c r="B299" s="119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</row>
    <row r="300" spans="1:31" ht="14.25" x14ac:dyDescent="0.2">
      <c r="A300" s="119"/>
      <c r="B300" s="119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</row>
    <row r="301" spans="1:31" ht="14.25" x14ac:dyDescent="0.2">
      <c r="A301" s="119"/>
      <c r="B301" s="119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</row>
    <row r="302" spans="1:31" ht="14.25" x14ac:dyDescent="0.2">
      <c r="A302" s="119"/>
      <c r="B302" s="119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</row>
    <row r="303" spans="1:31" ht="14.25" x14ac:dyDescent="0.2">
      <c r="A303" s="119"/>
      <c r="B303" s="119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</row>
    <row r="304" spans="1:31" ht="14.25" x14ac:dyDescent="0.2">
      <c r="A304" s="119"/>
      <c r="B304" s="119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</row>
    <row r="305" spans="1:31" ht="14.25" x14ac:dyDescent="0.2">
      <c r="A305" s="119"/>
      <c r="B305" s="119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</row>
    <row r="306" spans="1:31" ht="14.25" x14ac:dyDescent="0.2">
      <c r="A306" s="119"/>
      <c r="B306" s="119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</row>
    <row r="307" spans="1:31" ht="14.25" x14ac:dyDescent="0.2">
      <c r="A307" s="119"/>
      <c r="B307" s="119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</row>
    <row r="308" spans="1:31" ht="14.25" x14ac:dyDescent="0.2">
      <c r="A308" s="119"/>
      <c r="B308" s="119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</row>
    <row r="309" spans="1:31" ht="14.25" x14ac:dyDescent="0.2">
      <c r="A309" s="119"/>
      <c r="B309" s="119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</row>
    <row r="310" spans="1:31" ht="14.25" x14ac:dyDescent="0.2">
      <c r="A310" s="119"/>
      <c r="B310" s="119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</row>
    <row r="311" spans="1:31" ht="14.25" x14ac:dyDescent="0.2">
      <c r="A311" s="119"/>
      <c r="B311" s="119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</row>
    <row r="312" spans="1:31" ht="14.25" x14ac:dyDescent="0.2">
      <c r="A312" s="119"/>
      <c r="B312" s="119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</row>
    <row r="313" spans="1:31" ht="14.25" x14ac:dyDescent="0.2">
      <c r="A313" s="119"/>
      <c r="B313" s="119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</row>
    <row r="314" spans="1:31" ht="14.25" x14ac:dyDescent="0.2">
      <c r="A314" s="119"/>
      <c r="B314" s="119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</row>
    <row r="315" spans="1:31" ht="14.25" x14ac:dyDescent="0.2">
      <c r="A315" s="119"/>
      <c r="B315" s="119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</row>
    <row r="316" spans="1:31" ht="14.25" x14ac:dyDescent="0.2">
      <c r="A316" s="119"/>
      <c r="B316" s="119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</row>
    <row r="317" spans="1:31" ht="14.25" x14ac:dyDescent="0.2">
      <c r="A317" s="119"/>
      <c r="B317" s="119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</row>
    <row r="318" spans="1:31" ht="14.25" x14ac:dyDescent="0.2">
      <c r="A318" s="119"/>
      <c r="B318" s="119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</row>
    <row r="319" spans="1:31" ht="14.25" x14ac:dyDescent="0.2">
      <c r="A319" s="119"/>
      <c r="B319" s="119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</row>
    <row r="320" spans="1:31" ht="14.25" x14ac:dyDescent="0.2">
      <c r="A320" s="119"/>
      <c r="B320" s="119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</row>
    <row r="321" spans="1:31" ht="14.25" x14ac:dyDescent="0.2">
      <c r="A321" s="119"/>
      <c r="B321" s="119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</row>
    <row r="322" spans="1:31" ht="14.25" x14ac:dyDescent="0.2">
      <c r="A322" s="119"/>
      <c r="B322" s="119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</row>
    <row r="323" spans="1:31" ht="14.25" x14ac:dyDescent="0.2">
      <c r="A323" s="119"/>
      <c r="B323" s="119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</row>
    <row r="324" spans="1:31" ht="14.25" x14ac:dyDescent="0.2">
      <c r="A324" s="119"/>
      <c r="B324" s="119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</row>
    <row r="325" spans="1:31" ht="14.25" x14ac:dyDescent="0.2">
      <c r="A325" s="119"/>
      <c r="B325" s="119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</row>
    <row r="326" spans="1:31" ht="14.25" x14ac:dyDescent="0.2">
      <c r="A326" s="119"/>
      <c r="B326" s="119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</row>
    <row r="327" spans="1:31" ht="14.25" x14ac:dyDescent="0.2">
      <c r="A327" s="119"/>
      <c r="B327" s="119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</row>
    <row r="328" spans="1:31" ht="14.25" x14ac:dyDescent="0.2">
      <c r="A328" s="119"/>
      <c r="B328" s="119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</row>
    <row r="329" spans="1:31" ht="14.25" x14ac:dyDescent="0.2">
      <c r="A329" s="119"/>
      <c r="B329" s="119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</row>
    <row r="330" spans="1:31" ht="14.25" x14ac:dyDescent="0.2">
      <c r="A330" s="119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</row>
    <row r="331" spans="1:31" ht="14.25" x14ac:dyDescent="0.2">
      <c r="A331" s="119"/>
      <c r="B331" s="119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</row>
    <row r="332" spans="1:31" ht="14.25" x14ac:dyDescent="0.2">
      <c r="A332" s="119"/>
      <c r="B332" s="119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</row>
    <row r="333" spans="1:31" ht="14.25" x14ac:dyDescent="0.2">
      <c r="A333" s="119"/>
      <c r="B333" s="119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</row>
    <row r="334" spans="1:31" ht="14.25" x14ac:dyDescent="0.2">
      <c r="A334" s="119"/>
      <c r="B334" s="119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</row>
    <row r="335" spans="1:31" ht="14.25" x14ac:dyDescent="0.2">
      <c r="A335" s="119"/>
      <c r="B335" s="119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</row>
    <row r="336" spans="1:31" ht="14.25" x14ac:dyDescent="0.2">
      <c r="A336" s="119"/>
      <c r="B336" s="119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</row>
    <row r="337" spans="1:31" ht="14.25" x14ac:dyDescent="0.2">
      <c r="A337" s="119"/>
      <c r="B337" s="119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</row>
    <row r="338" spans="1:31" ht="14.25" x14ac:dyDescent="0.2">
      <c r="A338" s="119"/>
      <c r="B338" s="119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</row>
    <row r="339" spans="1:31" ht="14.25" x14ac:dyDescent="0.2">
      <c r="A339" s="119"/>
      <c r="B339" s="119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</row>
    <row r="340" spans="1:31" ht="14.25" x14ac:dyDescent="0.2">
      <c r="A340" s="119"/>
      <c r="B340" s="119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</row>
    <row r="341" spans="1:31" ht="14.25" x14ac:dyDescent="0.2">
      <c r="A341" s="119"/>
      <c r="B341" s="119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</row>
    <row r="342" spans="1:31" ht="14.25" x14ac:dyDescent="0.2">
      <c r="A342" s="119"/>
      <c r="B342" s="119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</row>
    <row r="343" spans="1:31" ht="14.25" x14ac:dyDescent="0.2">
      <c r="A343" s="119"/>
      <c r="B343" s="119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</row>
    <row r="344" spans="1:31" ht="14.25" x14ac:dyDescent="0.2">
      <c r="A344" s="119"/>
      <c r="B344" s="119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</row>
    <row r="345" spans="1:31" ht="14.25" x14ac:dyDescent="0.2">
      <c r="A345" s="119"/>
      <c r="B345" s="119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</row>
    <row r="346" spans="1:31" ht="14.25" x14ac:dyDescent="0.2">
      <c r="A346" s="119"/>
      <c r="B346" s="119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</row>
    <row r="347" spans="1:31" ht="14.25" x14ac:dyDescent="0.2">
      <c r="A347" s="119"/>
      <c r="B347" s="119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</row>
    <row r="348" spans="1:31" ht="14.25" x14ac:dyDescent="0.2">
      <c r="A348" s="119"/>
      <c r="B348" s="119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</row>
    <row r="349" spans="1:31" ht="14.25" x14ac:dyDescent="0.2">
      <c r="A349" s="119"/>
      <c r="B349" s="119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</row>
    <row r="350" spans="1:31" ht="14.25" x14ac:dyDescent="0.2">
      <c r="A350" s="119"/>
      <c r="B350" s="119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</row>
    <row r="351" spans="1:31" ht="14.25" x14ac:dyDescent="0.2">
      <c r="A351" s="119"/>
      <c r="B351" s="119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</row>
    <row r="352" spans="1:31" ht="14.25" x14ac:dyDescent="0.2">
      <c r="A352" s="119"/>
      <c r="B352" s="119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</row>
    <row r="353" spans="1:31" ht="14.25" x14ac:dyDescent="0.2">
      <c r="A353" s="119"/>
      <c r="B353" s="119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  <c r="AE353" s="119"/>
    </row>
    <row r="354" spans="1:31" ht="14.25" x14ac:dyDescent="0.2">
      <c r="A354" s="119"/>
      <c r="B354" s="119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  <c r="AE354" s="119"/>
    </row>
    <row r="355" spans="1:31" ht="14.25" x14ac:dyDescent="0.2">
      <c r="A355" s="119"/>
      <c r="B355" s="119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  <c r="AE355" s="119"/>
    </row>
    <row r="356" spans="1:31" ht="14.25" x14ac:dyDescent="0.2">
      <c r="A356" s="119"/>
      <c r="B356" s="119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</row>
    <row r="357" spans="1:31" ht="14.25" x14ac:dyDescent="0.2">
      <c r="A357" s="119"/>
      <c r="B357" s="119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</row>
    <row r="358" spans="1:31" ht="14.25" x14ac:dyDescent="0.2">
      <c r="A358" s="119"/>
      <c r="B358" s="119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</row>
    <row r="359" spans="1:31" ht="14.25" x14ac:dyDescent="0.2">
      <c r="A359" s="119"/>
      <c r="B359" s="119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</row>
    <row r="360" spans="1:31" ht="14.25" x14ac:dyDescent="0.2">
      <c r="A360" s="119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</row>
    <row r="361" spans="1:31" ht="14.25" x14ac:dyDescent="0.2">
      <c r="A361" s="119"/>
      <c r="B361" s="119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</row>
    <row r="362" spans="1:31" ht="14.25" x14ac:dyDescent="0.2">
      <c r="A362" s="119"/>
      <c r="B362" s="119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</row>
    <row r="363" spans="1:31" ht="14.25" x14ac:dyDescent="0.2">
      <c r="A363" s="119"/>
      <c r="B363" s="119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</row>
    <row r="364" spans="1:31" ht="14.25" x14ac:dyDescent="0.2">
      <c r="A364" s="119"/>
      <c r="B364" s="119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</row>
    <row r="365" spans="1:31" ht="14.25" x14ac:dyDescent="0.2">
      <c r="A365" s="119"/>
      <c r="B365" s="119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</row>
    <row r="366" spans="1:31" ht="14.25" x14ac:dyDescent="0.2">
      <c r="A366" s="119"/>
      <c r="B366" s="119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</row>
    <row r="367" spans="1:31" ht="14.25" x14ac:dyDescent="0.2">
      <c r="A367" s="119"/>
      <c r="B367" s="119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</row>
    <row r="368" spans="1:31" ht="14.25" x14ac:dyDescent="0.2">
      <c r="A368" s="119"/>
      <c r="B368" s="119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</row>
    <row r="369" spans="1:31" ht="14.25" x14ac:dyDescent="0.2">
      <c r="A369" s="119"/>
      <c r="B369" s="119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</row>
    <row r="370" spans="1:31" ht="14.25" x14ac:dyDescent="0.2">
      <c r="A370" s="119"/>
      <c r="B370" s="119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</row>
    <row r="371" spans="1:31" ht="14.25" x14ac:dyDescent="0.2">
      <c r="A371" s="119"/>
      <c r="B371" s="119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</row>
    <row r="372" spans="1:31" ht="14.25" x14ac:dyDescent="0.2">
      <c r="A372" s="119"/>
      <c r="B372" s="119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</row>
    <row r="373" spans="1:31" ht="14.25" x14ac:dyDescent="0.2">
      <c r="A373" s="119"/>
      <c r="B373" s="119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</row>
    <row r="374" spans="1:31" ht="14.25" x14ac:dyDescent="0.2">
      <c r="A374" s="119"/>
      <c r="B374" s="119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</row>
    <row r="375" spans="1:31" ht="14.25" x14ac:dyDescent="0.2">
      <c r="A375" s="119"/>
      <c r="B375" s="119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</row>
    <row r="376" spans="1:31" ht="14.25" x14ac:dyDescent="0.2">
      <c r="A376" s="119"/>
      <c r="B376" s="119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</row>
    <row r="377" spans="1:31" ht="14.25" x14ac:dyDescent="0.2">
      <c r="A377" s="119"/>
      <c r="B377" s="119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</row>
    <row r="378" spans="1:31" ht="14.25" x14ac:dyDescent="0.2">
      <c r="A378" s="119"/>
      <c r="B378" s="119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</row>
    <row r="379" spans="1:31" ht="14.25" x14ac:dyDescent="0.2">
      <c r="A379" s="119"/>
      <c r="B379" s="119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</row>
    <row r="380" spans="1:31" ht="14.25" x14ac:dyDescent="0.2">
      <c r="A380" s="119"/>
      <c r="B380" s="119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</row>
    <row r="381" spans="1:31" ht="14.25" x14ac:dyDescent="0.2">
      <c r="A381" s="119"/>
      <c r="B381" s="119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</row>
    <row r="382" spans="1:31" ht="14.25" x14ac:dyDescent="0.2">
      <c r="A382" s="119"/>
      <c r="B382" s="119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</row>
    <row r="383" spans="1:31" ht="14.25" x14ac:dyDescent="0.2">
      <c r="A383" s="119"/>
      <c r="B383" s="119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</row>
    <row r="384" spans="1:31" ht="14.25" x14ac:dyDescent="0.2">
      <c r="A384" s="119"/>
      <c r="B384" s="119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</row>
    <row r="385" spans="1:31" ht="14.25" x14ac:dyDescent="0.2">
      <c r="A385" s="119"/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</row>
    <row r="386" spans="1:31" ht="14.25" x14ac:dyDescent="0.2">
      <c r="A386" s="119"/>
      <c r="B386" s="119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</row>
    <row r="387" spans="1:31" ht="14.25" x14ac:dyDescent="0.2">
      <c r="A387" s="119"/>
      <c r="B387" s="119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  <c r="AE387" s="119"/>
    </row>
    <row r="388" spans="1:31" ht="14.25" x14ac:dyDescent="0.2">
      <c r="A388" s="119"/>
      <c r="B388" s="119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</row>
    <row r="389" spans="1:31" ht="14.25" x14ac:dyDescent="0.2">
      <c r="A389" s="119"/>
      <c r="B389" s="119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  <c r="AE389" s="119"/>
    </row>
    <row r="390" spans="1:31" ht="14.25" x14ac:dyDescent="0.2">
      <c r="A390" s="119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  <c r="AE390" s="119"/>
    </row>
    <row r="391" spans="1:31" ht="14.25" x14ac:dyDescent="0.2">
      <c r="A391" s="119"/>
      <c r="B391" s="119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  <c r="AE391" s="119"/>
    </row>
    <row r="392" spans="1:31" ht="14.25" x14ac:dyDescent="0.2">
      <c r="A392" s="119"/>
      <c r="B392" s="119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  <c r="AE392" s="119"/>
    </row>
    <row r="393" spans="1:31" ht="14.25" x14ac:dyDescent="0.2">
      <c r="A393" s="119"/>
      <c r="B393" s="119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/>
    </row>
    <row r="394" spans="1:31" ht="14.25" x14ac:dyDescent="0.2">
      <c r="A394" s="119"/>
      <c r="B394" s="119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/>
    </row>
    <row r="395" spans="1:31" ht="14.25" x14ac:dyDescent="0.2">
      <c r="A395" s="119"/>
      <c r="B395" s="119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</row>
    <row r="396" spans="1:31" ht="14.25" x14ac:dyDescent="0.2">
      <c r="A396" s="119"/>
      <c r="B396" s="119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</row>
    <row r="397" spans="1:31" ht="14.25" x14ac:dyDescent="0.2">
      <c r="A397" s="119"/>
      <c r="B397" s="119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</row>
    <row r="398" spans="1:31" ht="14.25" x14ac:dyDescent="0.2">
      <c r="A398" s="119"/>
      <c r="B398" s="119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</row>
    <row r="399" spans="1:31" ht="14.25" x14ac:dyDescent="0.2">
      <c r="A399" s="119"/>
      <c r="B399" s="119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</row>
    <row r="400" spans="1:31" ht="14.25" x14ac:dyDescent="0.2">
      <c r="A400" s="119"/>
      <c r="B400" s="119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</row>
    <row r="401" spans="1:31" ht="14.25" x14ac:dyDescent="0.2">
      <c r="A401" s="119"/>
      <c r="B401" s="119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</row>
    <row r="402" spans="1:31" ht="14.25" x14ac:dyDescent="0.2">
      <c r="A402" s="119"/>
      <c r="B402" s="119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</row>
    <row r="403" spans="1:31" ht="14.25" x14ac:dyDescent="0.2">
      <c r="A403" s="119"/>
      <c r="B403" s="119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</row>
    <row r="404" spans="1:31" ht="14.25" x14ac:dyDescent="0.2">
      <c r="A404" s="119"/>
      <c r="B404" s="119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</row>
    <row r="405" spans="1:31" ht="14.25" x14ac:dyDescent="0.2">
      <c r="A405" s="119"/>
      <c r="B405" s="119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</row>
    <row r="406" spans="1:31" ht="14.25" x14ac:dyDescent="0.2">
      <c r="A406" s="119"/>
      <c r="B406" s="119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</row>
    <row r="407" spans="1:31" ht="14.25" x14ac:dyDescent="0.2">
      <c r="A407" s="119"/>
      <c r="B407" s="119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</row>
    <row r="408" spans="1:31" ht="14.25" x14ac:dyDescent="0.2">
      <c r="A408" s="119"/>
      <c r="B408" s="119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</row>
    <row r="409" spans="1:31" ht="14.25" x14ac:dyDescent="0.2">
      <c r="A409" s="119"/>
      <c r="B409" s="119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</row>
    <row r="410" spans="1:31" ht="14.25" x14ac:dyDescent="0.2">
      <c r="A410" s="119"/>
      <c r="B410" s="119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</row>
    <row r="411" spans="1:31" ht="14.25" x14ac:dyDescent="0.2">
      <c r="A411" s="119"/>
      <c r="B411" s="119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</row>
    <row r="412" spans="1:31" ht="14.25" x14ac:dyDescent="0.2">
      <c r="A412" s="119"/>
      <c r="B412" s="119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</row>
    <row r="413" spans="1:31" ht="14.25" x14ac:dyDescent="0.2">
      <c r="A413" s="119"/>
      <c r="B413" s="119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</row>
    <row r="414" spans="1:31" ht="14.25" x14ac:dyDescent="0.2">
      <c r="A414" s="119"/>
      <c r="B414" s="119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</row>
    <row r="415" spans="1:31" ht="14.25" x14ac:dyDescent="0.2">
      <c r="A415" s="119"/>
      <c r="B415" s="119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</row>
    <row r="416" spans="1:31" ht="14.25" x14ac:dyDescent="0.2">
      <c r="A416" s="119"/>
      <c r="B416" s="119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</row>
    <row r="417" spans="1:31" ht="14.25" x14ac:dyDescent="0.2">
      <c r="A417" s="119"/>
      <c r="B417" s="119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</row>
    <row r="418" spans="1:31" ht="14.25" x14ac:dyDescent="0.2">
      <c r="A418" s="119"/>
      <c r="B418" s="119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</row>
    <row r="419" spans="1:31" ht="14.25" x14ac:dyDescent="0.2">
      <c r="A419" s="119"/>
      <c r="B419" s="119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</row>
    <row r="420" spans="1:31" ht="14.25" x14ac:dyDescent="0.2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</row>
    <row r="421" spans="1:31" ht="14.25" x14ac:dyDescent="0.2">
      <c r="A421" s="119"/>
      <c r="B421" s="119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</row>
    <row r="422" spans="1:31" ht="14.25" x14ac:dyDescent="0.2">
      <c r="A422" s="119"/>
      <c r="B422" s="119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</row>
    <row r="423" spans="1:31" ht="14.25" x14ac:dyDescent="0.2">
      <c r="A423" s="119"/>
      <c r="B423" s="119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</row>
    <row r="424" spans="1:31" ht="14.25" x14ac:dyDescent="0.2">
      <c r="A424" s="119"/>
      <c r="B424" s="119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</row>
    <row r="425" spans="1:31" ht="14.25" x14ac:dyDescent="0.2">
      <c r="A425" s="119"/>
      <c r="B425" s="119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</row>
    <row r="426" spans="1:31" ht="14.25" x14ac:dyDescent="0.2">
      <c r="A426" s="119"/>
      <c r="B426" s="119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</row>
    <row r="427" spans="1:31" ht="14.25" x14ac:dyDescent="0.2">
      <c r="A427" s="119"/>
      <c r="B427" s="119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</row>
    <row r="428" spans="1:31" ht="14.25" x14ac:dyDescent="0.2">
      <c r="A428" s="119"/>
      <c r="B428" s="119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</row>
    <row r="429" spans="1:31" ht="14.25" x14ac:dyDescent="0.2">
      <c r="A429" s="119"/>
      <c r="B429" s="119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</row>
    <row r="430" spans="1:31" ht="14.25" x14ac:dyDescent="0.2">
      <c r="A430" s="119"/>
      <c r="B430" s="119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</row>
    <row r="431" spans="1:31" ht="14.25" x14ac:dyDescent="0.2">
      <c r="A431" s="119"/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</row>
    <row r="432" spans="1:31" ht="14.25" x14ac:dyDescent="0.2">
      <c r="A432" s="119"/>
      <c r="B432" s="119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</row>
    <row r="433" spans="1:31" ht="14.25" x14ac:dyDescent="0.2">
      <c r="A433" s="119"/>
      <c r="B433" s="119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</row>
    <row r="434" spans="1:31" ht="14.25" x14ac:dyDescent="0.2">
      <c r="A434" s="119"/>
      <c r="B434" s="119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</row>
    <row r="435" spans="1:31" ht="14.25" x14ac:dyDescent="0.2">
      <c r="A435" s="119"/>
      <c r="B435" s="119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</row>
    <row r="436" spans="1:31" ht="14.25" x14ac:dyDescent="0.2">
      <c r="A436" s="119"/>
      <c r="B436" s="119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</row>
    <row r="437" spans="1:31" ht="14.25" x14ac:dyDescent="0.2">
      <c r="A437" s="119"/>
      <c r="B437" s="119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</row>
    <row r="438" spans="1:31" ht="14.25" x14ac:dyDescent="0.2">
      <c r="A438" s="119"/>
      <c r="B438" s="119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</row>
    <row r="439" spans="1:31" ht="14.25" x14ac:dyDescent="0.2">
      <c r="A439" s="119"/>
      <c r="B439" s="119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</row>
    <row r="440" spans="1:31" ht="14.25" x14ac:dyDescent="0.2">
      <c r="A440" s="119"/>
      <c r="B440" s="119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</row>
    <row r="441" spans="1:31" ht="14.25" x14ac:dyDescent="0.2">
      <c r="A441" s="119"/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</row>
    <row r="442" spans="1:31" ht="14.25" x14ac:dyDescent="0.2">
      <c r="A442" s="119"/>
      <c r="B442" s="119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</row>
    <row r="443" spans="1:31" ht="14.25" x14ac:dyDescent="0.2">
      <c r="A443" s="119"/>
      <c r="B443" s="119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</row>
    <row r="444" spans="1:31" ht="14.25" x14ac:dyDescent="0.2">
      <c r="A444" s="119"/>
      <c r="B444" s="119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</row>
    <row r="445" spans="1:31" ht="14.25" x14ac:dyDescent="0.2">
      <c r="A445" s="119"/>
      <c r="B445" s="119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</row>
    <row r="446" spans="1:31" ht="14.25" x14ac:dyDescent="0.2">
      <c r="A446" s="119"/>
      <c r="B446" s="119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</row>
    <row r="447" spans="1:31" ht="14.25" x14ac:dyDescent="0.2">
      <c r="A447" s="119"/>
      <c r="B447" s="119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</row>
    <row r="448" spans="1:31" ht="14.25" x14ac:dyDescent="0.2">
      <c r="A448" s="119"/>
      <c r="B448" s="119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</row>
    <row r="449" spans="1:31" ht="14.25" x14ac:dyDescent="0.2">
      <c r="A449" s="119"/>
      <c r="B449" s="119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</row>
    <row r="450" spans="1:31" ht="14.25" x14ac:dyDescent="0.2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</row>
    <row r="451" spans="1:31" ht="14.25" x14ac:dyDescent="0.2">
      <c r="A451" s="119"/>
      <c r="B451" s="119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</row>
    <row r="452" spans="1:31" ht="14.25" x14ac:dyDescent="0.2">
      <c r="A452" s="119"/>
      <c r="B452" s="119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</row>
    <row r="453" spans="1:31" ht="14.25" x14ac:dyDescent="0.2">
      <c r="A453" s="119"/>
      <c r="B453" s="119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</row>
    <row r="454" spans="1:31" ht="14.25" x14ac:dyDescent="0.2">
      <c r="A454" s="119"/>
      <c r="B454" s="119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</row>
    <row r="455" spans="1:31" ht="14.25" x14ac:dyDescent="0.2">
      <c r="A455" s="119"/>
      <c r="B455" s="119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</row>
    <row r="456" spans="1:31" ht="14.25" x14ac:dyDescent="0.2">
      <c r="A456" s="119"/>
      <c r="B456" s="119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</row>
    <row r="457" spans="1:31" ht="14.25" x14ac:dyDescent="0.2">
      <c r="A457" s="119"/>
      <c r="B457" s="119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</row>
    <row r="458" spans="1:31" ht="14.25" x14ac:dyDescent="0.2">
      <c r="A458" s="119"/>
      <c r="B458" s="119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</row>
    <row r="459" spans="1:31" ht="14.25" x14ac:dyDescent="0.2">
      <c r="A459" s="119"/>
      <c r="B459" s="119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</row>
    <row r="460" spans="1:31" ht="14.25" x14ac:dyDescent="0.2">
      <c r="A460" s="119"/>
      <c r="B460" s="119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</row>
    <row r="461" spans="1:31" ht="14.25" x14ac:dyDescent="0.2">
      <c r="A461" s="119"/>
      <c r="B461" s="119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</row>
    <row r="462" spans="1:31" ht="14.25" x14ac:dyDescent="0.2">
      <c r="A462" s="119"/>
      <c r="B462" s="119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</row>
    <row r="463" spans="1:31" ht="14.25" x14ac:dyDescent="0.2">
      <c r="A463" s="119"/>
      <c r="B463" s="119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</row>
    <row r="464" spans="1:31" ht="14.25" x14ac:dyDescent="0.2">
      <c r="A464" s="119"/>
      <c r="B464" s="119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</row>
    <row r="465" spans="1:31" ht="14.25" x14ac:dyDescent="0.2">
      <c r="A465" s="119"/>
      <c r="B465" s="119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</row>
    <row r="466" spans="1:31" ht="14.25" x14ac:dyDescent="0.2">
      <c r="A466" s="119"/>
      <c r="B466" s="119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</row>
    <row r="467" spans="1:31" ht="14.25" x14ac:dyDescent="0.2">
      <c r="A467" s="119"/>
      <c r="B467" s="119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</row>
    <row r="468" spans="1:31" ht="14.25" x14ac:dyDescent="0.2">
      <c r="A468" s="119"/>
      <c r="B468" s="119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</row>
    <row r="469" spans="1:31" ht="14.25" x14ac:dyDescent="0.2">
      <c r="A469" s="119"/>
      <c r="B469" s="119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</row>
    <row r="470" spans="1:31" ht="14.25" x14ac:dyDescent="0.2">
      <c r="A470" s="119"/>
      <c r="B470" s="119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</row>
    <row r="471" spans="1:31" ht="14.25" x14ac:dyDescent="0.2">
      <c r="A471" s="119"/>
      <c r="B471" s="119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</row>
    <row r="472" spans="1:31" ht="14.25" x14ac:dyDescent="0.2">
      <c r="A472" s="119"/>
      <c r="B472" s="119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</row>
    <row r="473" spans="1:31" ht="14.25" x14ac:dyDescent="0.2">
      <c r="A473" s="119"/>
      <c r="B473" s="119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</row>
    <row r="474" spans="1:31" ht="14.25" x14ac:dyDescent="0.2">
      <c r="A474" s="119"/>
      <c r="B474" s="119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</row>
    <row r="475" spans="1:31" ht="14.25" x14ac:dyDescent="0.2">
      <c r="A475" s="119"/>
      <c r="B475" s="119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</row>
    <row r="476" spans="1:31" ht="14.25" x14ac:dyDescent="0.2">
      <c r="A476" s="119"/>
      <c r="B476" s="119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</row>
    <row r="477" spans="1:31" ht="14.25" x14ac:dyDescent="0.2">
      <c r="A477" s="119"/>
      <c r="B477" s="119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</row>
    <row r="478" spans="1:31" ht="14.25" x14ac:dyDescent="0.2">
      <c r="A478" s="119"/>
      <c r="B478" s="119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</row>
    <row r="479" spans="1:31" ht="14.25" x14ac:dyDescent="0.2">
      <c r="A479" s="119"/>
      <c r="B479" s="119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</row>
    <row r="480" spans="1:31" ht="14.25" x14ac:dyDescent="0.2">
      <c r="A480" s="119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</row>
    <row r="481" spans="1:31" ht="14.25" x14ac:dyDescent="0.2">
      <c r="A481" s="119"/>
      <c r="B481" s="119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</row>
    <row r="482" spans="1:31" ht="14.25" x14ac:dyDescent="0.2">
      <c r="A482" s="119"/>
      <c r="B482" s="119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</row>
    <row r="483" spans="1:31" ht="14.25" x14ac:dyDescent="0.2">
      <c r="A483" s="119"/>
      <c r="B483" s="119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</row>
    <row r="484" spans="1:31" ht="14.25" x14ac:dyDescent="0.2">
      <c r="A484" s="119"/>
      <c r="B484" s="119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</row>
    <row r="485" spans="1:31" ht="14.25" x14ac:dyDescent="0.2">
      <c r="A485" s="119"/>
      <c r="B485" s="119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</row>
    <row r="486" spans="1:31" ht="14.25" x14ac:dyDescent="0.2">
      <c r="A486" s="119"/>
      <c r="B486" s="119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</row>
    <row r="487" spans="1:31" ht="14.25" x14ac:dyDescent="0.2">
      <c r="A487" s="119"/>
      <c r="B487" s="119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</row>
    <row r="488" spans="1:31" ht="14.25" x14ac:dyDescent="0.2">
      <c r="A488" s="119"/>
      <c r="B488" s="119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</row>
    <row r="489" spans="1:31" ht="14.25" x14ac:dyDescent="0.2">
      <c r="A489" s="119"/>
      <c r="B489" s="119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</row>
    <row r="490" spans="1:31" ht="14.25" x14ac:dyDescent="0.2">
      <c r="A490" s="119"/>
      <c r="B490" s="119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</row>
    <row r="491" spans="1:31" ht="14.25" x14ac:dyDescent="0.2">
      <c r="A491" s="119"/>
      <c r="B491" s="119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</row>
    <row r="492" spans="1:31" ht="14.25" x14ac:dyDescent="0.2">
      <c r="A492" s="119"/>
      <c r="B492" s="119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</row>
    <row r="493" spans="1:31" ht="14.25" x14ac:dyDescent="0.2">
      <c r="A493" s="119"/>
      <c r="B493" s="119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</row>
    <row r="494" spans="1:31" ht="14.25" x14ac:dyDescent="0.2">
      <c r="A494" s="119"/>
      <c r="B494" s="119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</row>
    <row r="495" spans="1:31" ht="14.25" x14ac:dyDescent="0.2">
      <c r="A495" s="119"/>
      <c r="B495" s="119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</row>
    <row r="496" spans="1:31" ht="14.25" x14ac:dyDescent="0.2">
      <c r="A496" s="119"/>
      <c r="B496" s="119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</row>
    <row r="497" spans="1:31" ht="14.25" x14ac:dyDescent="0.2">
      <c r="A497" s="119"/>
      <c r="B497" s="119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</row>
    <row r="498" spans="1:31" ht="14.25" x14ac:dyDescent="0.2">
      <c r="A498" s="119"/>
      <c r="B498" s="119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</row>
    <row r="499" spans="1:31" ht="14.25" x14ac:dyDescent="0.2">
      <c r="A499" s="119"/>
      <c r="B499" s="119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</row>
    <row r="500" spans="1:31" ht="14.25" x14ac:dyDescent="0.2">
      <c r="A500" s="119"/>
      <c r="B500" s="119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</row>
    <row r="501" spans="1:31" ht="14.25" x14ac:dyDescent="0.2">
      <c r="A501" s="119"/>
      <c r="B501" s="119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</row>
    <row r="502" spans="1:31" ht="14.25" x14ac:dyDescent="0.2">
      <c r="A502" s="119"/>
      <c r="B502" s="119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</row>
    <row r="503" spans="1:31" ht="14.25" x14ac:dyDescent="0.2">
      <c r="A503" s="119"/>
      <c r="B503" s="119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  <c r="AE503" s="119"/>
    </row>
    <row r="504" spans="1:31" ht="14.25" x14ac:dyDescent="0.2">
      <c r="A504" s="119"/>
      <c r="B504" s="119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  <c r="AE504" s="119"/>
    </row>
    <row r="505" spans="1:31" ht="14.25" x14ac:dyDescent="0.2">
      <c r="A505" s="119"/>
      <c r="B505" s="119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  <c r="AE505" s="119"/>
    </row>
    <row r="506" spans="1:31" ht="14.25" x14ac:dyDescent="0.2">
      <c r="A506" s="119"/>
      <c r="B506" s="119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  <c r="AE506" s="119"/>
    </row>
    <row r="507" spans="1:31" ht="14.25" x14ac:dyDescent="0.2">
      <c r="A507" s="119"/>
      <c r="B507" s="119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  <c r="AE507" s="119"/>
    </row>
    <row r="508" spans="1:31" ht="14.25" x14ac:dyDescent="0.2">
      <c r="A508" s="119"/>
      <c r="B508" s="119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  <c r="AE508" s="119"/>
    </row>
    <row r="509" spans="1:31" ht="14.25" x14ac:dyDescent="0.2">
      <c r="A509" s="119"/>
      <c r="B509" s="119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  <c r="AE509" s="119"/>
    </row>
    <row r="510" spans="1:31" ht="14.25" x14ac:dyDescent="0.2">
      <c r="A510" s="119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  <c r="AE510" s="119"/>
    </row>
    <row r="511" spans="1:31" ht="14.25" x14ac:dyDescent="0.2">
      <c r="A511" s="119"/>
      <c r="B511" s="119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  <c r="AE511" s="119"/>
    </row>
    <row r="512" spans="1:31" ht="14.25" x14ac:dyDescent="0.2">
      <c r="A512" s="119"/>
      <c r="B512" s="119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  <c r="AE512" s="119"/>
    </row>
    <row r="513" spans="1:31" ht="14.25" x14ac:dyDescent="0.2">
      <c r="A513" s="119"/>
      <c r="B513" s="119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  <c r="AE513" s="119"/>
    </row>
    <row r="514" spans="1:31" ht="14.25" x14ac:dyDescent="0.2">
      <c r="A514" s="119"/>
      <c r="B514" s="119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  <c r="AE514" s="119"/>
    </row>
    <row r="515" spans="1:31" ht="14.25" x14ac:dyDescent="0.2">
      <c r="A515" s="119"/>
      <c r="B515" s="119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  <c r="AE515" s="119"/>
    </row>
    <row r="516" spans="1:31" ht="14.25" x14ac:dyDescent="0.2">
      <c r="A516" s="119"/>
      <c r="B516" s="119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  <c r="AE516" s="119"/>
    </row>
    <row r="517" spans="1:31" ht="14.25" x14ac:dyDescent="0.2">
      <c r="A517" s="119"/>
      <c r="B517" s="119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  <c r="AE517" s="119"/>
    </row>
    <row r="518" spans="1:31" ht="14.25" x14ac:dyDescent="0.2">
      <c r="A518" s="119"/>
      <c r="B518" s="119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  <c r="AE518" s="119"/>
    </row>
    <row r="519" spans="1:31" ht="14.25" x14ac:dyDescent="0.2">
      <c r="A519" s="119"/>
      <c r="B519" s="119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  <c r="AE519" s="119"/>
    </row>
    <row r="520" spans="1:31" ht="14.25" x14ac:dyDescent="0.2">
      <c r="A520" s="119"/>
      <c r="B520" s="119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  <c r="AE520" s="119"/>
    </row>
    <row r="521" spans="1:31" ht="14.25" x14ac:dyDescent="0.2">
      <c r="A521" s="119"/>
      <c r="B521" s="119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  <c r="AE521" s="119"/>
    </row>
    <row r="522" spans="1:31" ht="14.25" x14ac:dyDescent="0.2">
      <c r="A522" s="119"/>
      <c r="B522" s="119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  <c r="AE522" s="119"/>
    </row>
    <row r="523" spans="1:31" ht="14.25" x14ac:dyDescent="0.2">
      <c r="A523" s="119"/>
      <c r="B523" s="119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  <c r="AE523" s="119"/>
    </row>
    <row r="524" spans="1:31" ht="14.25" x14ac:dyDescent="0.2">
      <c r="A524" s="119"/>
      <c r="B524" s="119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  <c r="AE524" s="119"/>
    </row>
    <row r="525" spans="1:31" ht="14.25" x14ac:dyDescent="0.2">
      <c r="A525" s="119"/>
      <c r="B525" s="119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  <c r="AE525" s="119"/>
    </row>
    <row r="526" spans="1:31" ht="14.25" x14ac:dyDescent="0.2">
      <c r="A526" s="119"/>
      <c r="B526" s="119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  <c r="AE526" s="119"/>
    </row>
    <row r="527" spans="1:31" ht="14.25" x14ac:dyDescent="0.2">
      <c r="A527" s="119"/>
      <c r="B527" s="119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  <c r="AE527" s="119"/>
    </row>
    <row r="528" spans="1:31" ht="14.25" x14ac:dyDescent="0.2">
      <c r="A528" s="119"/>
      <c r="B528" s="119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  <c r="AE528" s="119"/>
    </row>
    <row r="529" spans="1:31" ht="14.25" x14ac:dyDescent="0.2">
      <c r="A529" s="119"/>
      <c r="B529" s="119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  <c r="AE529" s="119"/>
    </row>
    <row r="530" spans="1:31" ht="14.25" x14ac:dyDescent="0.2">
      <c r="A530" s="119"/>
      <c r="B530" s="119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  <c r="AE530" s="119"/>
    </row>
    <row r="531" spans="1:31" ht="14.25" x14ac:dyDescent="0.2">
      <c r="A531" s="119"/>
      <c r="B531" s="119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  <c r="AE531" s="119"/>
    </row>
    <row r="532" spans="1:31" ht="14.25" x14ac:dyDescent="0.2">
      <c r="A532" s="119"/>
      <c r="B532" s="119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  <c r="AE532" s="119"/>
    </row>
    <row r="533" spans="1:31" ht="14.25" x14ac:dyDescent="0.2">
      <c r="A533" s="119"/>
      <c r="B533" s="119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  <c r="AE533" s="119"/>
    </row>
    <row r="534" spans="1:31" ht="14.25" x14ac:dyDescent="0.2">
      <c r="A534" s="119"/>
      <c r="B534" s="119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  <c r="AE534" s="119"/>
    </row>
    <row r="535" spans="1:31" ht="14.25" x14ac:dyDescent="0.2">
      <c r="A535" s="119"/>
      <c r="B535" s="119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  <c r="AE535" s="119"/>
    </row>
    <row r="536" spans="1:31" ht="14.25" x14ac:dyDescent="0.2">
      <c r="A536" s="119"/>
      <c r="B536" s="119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  <c r="AE536" s="119"/>
    </row>
    <row r="537" spans="1:31" ht="14.25" x14ac:dyDescent="0.2">
      <c r="A537" s="119"/>
      <c r="B537" s="119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  <c r="AE537" s="119"/>
    </row>
    <row r="538" spans="1:31" ht="14.25" x14ac:dyDescent="0.2">
      <c r="A538" s="119"/>
      <c r="B538" s="119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  <c r="AE538" s="119"/>
    </row>
    <row r="539" spans="1:31" ht="14.25" x14ac:dyDescent="0.2">
      <c r="A539" s="119"/>
      <c r="B539" s="119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  <c r="AE539" s="119"/>
    </row>
    <row r="540" spans="1:31" ht="14.25" x14ac:dyDescent="0.2">
      <c r="A540" s="119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  <c r="AE540" s="119"/>
    </row>
    <row r="541" spans="1:31" ht="14.25" x14ac:dyDescent="0.2">
      <c r="A541" s="119"/>
      <c r="B541" s="119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  <c r="AE541" s="119"/>
    </row>
    <row r="542" spans="1:31" ht="14.25" x14ac:dyDescent="0.2">
      <c r="A542" s="119"/>
      <c r="B542" s="119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  <c r="AE542" s="119"/>
    </row>
    <row r="543" spans="1:31" ht="14.25" x14ac:dyDescent="0.2">
      <c r="A543" s="119"/>
      <c r="B543" s="119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  <c r="AE543" s="119"/>
    </row>
    <row r="544" spans="1:31" ht="14.25" x14ac:dyDescent="0.2">
      <c r="A544" s="119"/>
      <c r="B544" s="119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  <c r="AE544" s="119"/>
    </row>
    <row r="545" spans="1:31" ht="14.25" x14ac:dyDescent="0.2">
      <c r="A545" s="119"/>
      <c r="B545" s="119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  <c r="AE545" s="119"/>
    </row>
    <row r="546" spans="1:31" ht="14.25" x14ac:dyDescent="0.2">
      <c r="A546" s="119"/>
      <c r="B546" s="119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  <c r="AE546" s="119"/>
    </row>
    <row r="547" spans="1:31" ht="14.25" x14ac:dyDescent="0.2">
      <c r="A547" s="119"/>
      <c r="B547" s="119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  <c r="AE547" s="119"/>
    </row>
    <row r="548" spans="1:31" ht="14.25" x14ac:dyDescent="0.2">
      <c r="A548" s="119"/>
      <c r="B548" s="119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  <c r="AE548" s="119"/>
    </row>
    <row r="549" spans="1:31" ht="14.25" x14ac:dyDescent="0.2">
      <c r="A549" s="119"/>
      <c r="B549" s="119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  <c r="AE549" s="119"/>
    </row>
    <row r="550" spans="1:31" ht="14.25" x14ac:dyDescent="0.2">
      <c r="A550" s="119"/>
      <c r="B550" s="119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  <c r="AE550" s="119"/>
    </row>
    <row r="551" spans="1:31" ht="14.25" x14ac:dyDescent="0.2">
      <c r="A551" s="119"/>
      <c r="B551" s="119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  <c r="AE551" s="119"/>
    </row>
    <row r="552" spans="1:31" ht="14.25" x14ac:dyDescent="0.2">
      <c r="A552" s="119"/>
      <c r="B552" s="119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  <c r="AE552" s="119"/>
    </row>
    <row r="553" spans="1:31" ht="14.25" x14ac:dyDescent="0.2">
      <c r="A553" s="119"/>
      <c r="B553" s="119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  <c r="AE553" s="119"/>
    </row>
    <row r="554" spans="1:31" ht="14.25" x14ac:dyDescent="0.2">
      <c r="A554" s="119"/>
      <c r="B554" s="119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  <c r="AE554" s="119"/>
    </row>
    <row r="555" spans="1:31" ht="14.25" x14ac:dyDescent="0.2">
      <c r="A555" s="119"/>
      <c r="B555" s="119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  <c r="AE555" s="119"/>
    </row>
    <row r="556" spans="1:31" ht="14.25" x14ac:dyDescent="0.2">
      <c r="A556" s="119"/>
      <c r="B556" s="119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  <c r="AE556" s="119"/>
    </row>
    <row r="557" spans="1:31" ht="14.25" x14ac:dyDescent="0.2">
      <c r="A557" s="119"/>
      <c r="B557" s="119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  <c r="AE557" s="119"/>
    </row>
    <row r="558" spans="1:31" ht="14.25" x14ac:dyDescent="0.2">
      <c r="A558" s="119"/>
      <c r="B558" s="119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  <c r="AE558" s="119"/>
    </row>
    <row r="559" spans="1:31" ht="14.25" x14ac:dyDescent="0.2">
      <c r="A559" s="119"/>
      <c r="B559" s="119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  <c r="AE559" s="119"/>
    </row>
    <row r="560" spans="1:31" ht="14.25" x14ac:dyDescent="0.2">
      <c r="A560" s="119"/>
      <c r="B560" s="119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  <c r="AE560" s="119"/>
    </row>
    <row r="561" spans="1:31" ht="14.25" x14ac:dyDescent="0.2">
      <c r="A561" s="119"/>
      <c r="B561" s="119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  <c r="AE561" s="119"/>
    </row>
    <row r="562" spans="1:31" ht="14.25" x14ac:dyDescent="0.2">
      <c r="A562" s="119"/>
      <c r="B562" s="119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  <c r="AE562" s="119"/>
    </row>
    <row r="563" spans="1:31" ht="14.25" x14ac:dyDescent="0.2">
      <c r="A563" s="119"/>
      <c r="B563" s="119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  <c r="AE563" s="119"/>
    </row>
    <row r="564" spans="1:31" ht="14.25" x14ac:dyDescent="0.2">
      <c r="A564" s="119"/>
      <c r="B564" s="119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  <c r="AE564" s="119"/>
    </row>
    <row r="565" spans="1:31" ht="14.25" x14ac:dyDescent="0.2">
      <c r="A565" s="119"/>
      <c r="B565" s="119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  <c r="AE565" s="119"/>
    </row>
    <row r="566" spans="1:31" ht="14.25" x14ac:dyDescent="0.2">
      <c r="A566" s="119"/>
      <c r="B566" s="119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  <c r="AE566" s="119"/>
    </row>
    <row r="567" spans="1:31" ht="14.25" x14ac:dyDescent="0.2">
      <c r="A567" s="119"/>
      <c r="B567" s="119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  <c r="AE567" s="119"/>
    </row>
    <row r="568" spans="1:31" ht="14.25" x14ac:dyDescent="0.2">
      <c r="A568" s="119"/>
      <c r="B568" s="119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  <c r="AE568" s="119"/>
    </row>
    <row r="569" spans="1:31" ht="14.25" x14ac:dyDescent="0.2">
      <c r="A569" s="119"/>
      <c r="B569" s="119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  <c r="AE569" s="119"/>
    </row>
    <row r="570" spans="1:31" ht="14.25" x14ac:dyDescent="0.2">
      <c r="A570" s="119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  <c r="AE570" s="119"/>
    </row>
    <row r="571" spans="1:31" ht="14.25" x14ac:dyDescent="0.2">
      <c r="A571" s="119"/>
      <c r="B571" s="119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  <c r="AE571" s="119"/>
    </row>
    <row r="572" spans="1:31" ht="14.25" x14ac:dyDescent="0.2">
      <c r="A572" s="119"/>
      <c r="B572" s="119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  <c r="AE572" s="119"/>
    </row>
    <row r="573" spans="1:31" ht="14.25" x14ac:dyDescent="0.2">
      <c r="A573" s="119"/>
      <c r="B573" s="119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  <c r="AE573" s="119"/>
    </row>
    <row r="574" spans="1:31" ht="14.25" x14ac:dyDescent="0.2">
      <c r="A574" s="119"/>
      <c r="B574" s="119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  <c r="AE574" s="119"/>
    </row>
    <row r="575" spans="1:31" ht="14.25" x14ac:dyDescent="0.2">
      <c r="A575" s="119"/>
      <c r="B575" s="119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  <c r="AE575" s="119"/>
    </row>
    <row r="576" spans="1:31" ht="14.25" x14ac:dyDescent="0.2">
      <c r="A576" s="119"/>
      <c r="B576" s="119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  <c r="AE576" s="119"/>
    </row>
    <row r="577" spans="1:31" ht="14.25" x14ac:dyDescent="0.2">
      <c r="A577" s="119"/>
      <c r="B577" s="119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  <c r="AE577" s="119"/>
    </row>
    <row r="578" spans="1:31" ht="14.25" x14ac:dyDescent="0.2">
      <c r="A578" s="119"/>
      <c r="B578" s="119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  <c r="AE578" s="119"/>
    </row>
    <row r="579" spans="1:31" ht="14.25" x14ac:dyDescent="0.2">
      <c r="A579" s="119"/>
      <c r="B579" s="119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  <c r="AE579" s="119"/>
    </row>
    <row r="580" spans="1:31" ht="14.25" x14ac:dyDescent="0.2">
      <c r="A580" s="119"/>
      <c r="B580" s="119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  <c r="AE580" s="119"/>
    </row>
    <row r="581" spans="1:31" ht="14.25" x14ac:dyDescent="0.2">
      <c r="A581" s="119"/>
      <c r="B581" s="119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  <c r="AE581" s="119"/>
    </row>
    <row r="582" spans="1:31" ht="14.25" x14ac:dyDescent="0.2">
      <c r="A582" s="119"/>
      <c r="B582" s="119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  <c r="AE582" s="119"/>
    </row>
    <row r="583" spans="1:31" ht="14.25" x14ac:dyDescent="0.2">
      <c r="A583" s="119"/>
      <c r="B583" s="119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  <c r="AE583" s="119"/>
    </row>
    <row r="584" spans="1:31" ht="14.25" x14ac:dyDescent="0.2">
      <c r="A584" s="119"/>
      <c r="B584" s="119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  <c r="AE584" s="119"/>
    </row>
    <row r="585" spans="1:31" ht="14.25" x14ac:dyDescent="0.2">
      <c r="A585" s="119"/>
      <c r="B585" s="119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  <c r="AE585" s="119"/>
    </row>
    <row r="586" spans="1:31" ht="14.25" x14ac:dyDescent="0.2">
      <c r="A586" s="119"/>
      <c r="B586" s="119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  <c r="AE586" s="119"/>
    </row>
    <row r="587" spans="1:31" ht="14.25" x14ac:dyDescent="0.2">
      <c r="A587" s="119"/>
      <c r="B587" s="119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  <c r="AE587" s="119"/>
    </row>
    <row r="588" spans="1:31" ht="14.25" x14ac:dyDescent="0.2">
      <c r="A588" s="119"/>
      <c r="B588" s="119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  <c r="AE588" s="119"/>
    </row>
    <row r="589" spans="1:31" ht="14.25" x14ac:dyDescent="0.2">
      <c r="A589" s="119"/>
      <c r="B589" s="119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  <c r="AE589" s="119"/>
    </row>
    <row r="590" spans="1:31" ht="14.25" x14ac:dyDescent="0.2">
      <c r="A590" s="119"/>
      <c r="B590" s="119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  <c r="AE590" s="119"/>
    </row>
    <row r="591" spans="1:31" ht="14.25" x14ac:dyDescent="0.2">
      <c r="A591" s="119"/>
      <c r="B591" s="119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  <c r="AE591" s="119"/>
    </row>
    <row r="592" spans="1:31" ht="14.25" x14ac:dyDescent="0.2">
      <c r="A592" s="119"/>
      <c r="B592" s="119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  <c r="AE592" s="119"/>
    </row>
    <row r="593" spans="1:31" ht="14.25" x14ac:dyDescent="0.2">
      <c r="A593" s="119"/>
      <c r="B593" s="119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  <c r="AE593" s="119"/>
    </row>
    <row r="594" spans="1:31" ht="14.25" x14ac:dyDescent="0.2">
      <c r="A594" s="119"/>
      <c r="B594" s="119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  <c r="AE594" s="119"/>
    </row>
    <row r="595" spans="1:31" ht="14.25" x14ac:dyDescent="0.2">
      <c r="A595" s="119"/>
      <c r="B595" s="119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  <c r="AE595" s="119"/>
    </row>
    <row r="596" spans="1:31" ht="14.25" x14ac:dyDescent="0.2">
      <c r="A596" s="119"/>
      <c r="B596" s="119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  <c r="AE596" s="119"/>
    </row>
    <row r="597" spans="1:31" ht="14.25" x14ac:dyDescent="0.2">
      <c r="A597" s="119"/>
      <c r="B597" s="119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  <c r="AE597" s="119"/>
    </row>
    <row r="598" spans="1:31" ht="14.25" x14ac:dyDescent="0.2">
      <c r="A598" s="119"/>
      <c r="B598" s="119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  <c r="AE598" s="119"/>
    </row>
    <row r="599" spans="1:31" ht="14.25" x14ac:dyDescent="0.2">
      <c r="A599" s="119"/>
      <c r="B599" s="119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  <c r="AE599" s="119"/>
    </row>
    <row r="600" spans="1:31" ht="14.25" x14ac:dyDescent="0.2">
      <c r="A600" s="119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  <c r="AE600" s="119"/>
    </row>
    <row r="601" spans="1:31" ht="14.25" x14ac:dyDescent="0.2">
      <c r="A601" s="119"/>
      <c r="B601" s="119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  <c r="AE601" s="119"/>
    </row>
    <row r="602" spans="1:31" ht="14.25" x14ac:dyDescent="0.2">
      <c r="A602" s="119"/>
      <c r="B602" s="119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  <c r="AE602" s="119"/>
    </row>
    <row r="603" spans="1:31" ht="14.25" x14ac:dyDescent="0.2">
      <c r="A603" s="119"/>
      <c r="B603" s="119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  <c r="AE603" s="119"/>
    </row>
    <row r="604" spans="1:31" ht="14.25" x14ac:dyDescent="0.2">
      <c r="A604" s="119"/>
      <c r="B604" s="119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  <c r="AE604" s="119"/>
    </row>
    <row r="605" spans="1:31" ht="14.25" x14ac:dyDescent="0.2">
      <c r="A605" s="119"/>
      <c r="B605" s="119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  <c r="AE605" s="119"/>
    </row>
    <row r="606" spans="1:31" ht="14.25" x14ac:dyDescent="0.2">
      <c r="A606" s="119"/>
      <c r="B606" s="119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  <c r="AE606" s="119"/>
    </row>
    <row r="607" spans="1:31" ht="14.25" x14ac:dyDescent="0.2">
      <c r="A607" s="119"/>
      <c r="B607" s="119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  <c r="AE607" s="119"/>
    </row>
    <row r="608" spans="1:31" ht="14.25" x14ac:dyDescent="0.2">
      <c r="A608" s="119"/>
      <c r="B608" s="119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  <c r="AE608" s="119"/>
    </row>
    <row r="609" spans="1:31" ht="14.25" x14ac:dyDescent="0.2">
      <c r="A609" s="119"/>
      <c r="B609" s="119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  <c r="AE609" s="119"/>
    </row>
    <row r="610" spans="1:31" ht="14.25" x14ac:dyDescent="0.2">
      <c r="A610" s="119"/>
      <c r="B610" s="119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  <c r="AE610" s="119"/>
    </row>
    <row r="611" spans="1:31" ht="14.25" x14ac:dyDescent="0.2">
      <c r="A611" s="119"/>
      <c r="B611" s="119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  <c r="AE611" s="119"/>
    </row>
    <row r="612" spans="1:31" ht="14.25" x14ac:dyDescent="0.2">
      <c r="A612" s="119"/>
      <c r="B612" s="119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  <c r="AE612" s="119"/>
    </row>
    <row r="613" spans="1:31" ht="14.25" x14ac:dyDescent="0.2">
      <c r="A613" s="119"/>
      <c r="B613" s="119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  <c r="AE613" s="119"/>
    </row>
    <row r="614" spans="1:31" ht="14.25" x14ac:dyDescent="0.2">
      <c r="A614" s="119"/>
      <c r="B614" s="119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  <c r="AE614" s="119"/>
    </row>
    <row r="615" spans="1:31" ht="14.25" x14ac:dyDescent="0.2">
      <c r="A615" s="119"/>
      <c r="B615" s="119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  <c r="AE615" s="119"/>
    </row>
    <row r="616" spans="1:31" ht="14.25" x14ac:dyDescent="0.2">
      <c r="A616" s="119"/>
      <c r="B616" s="119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  <c r="AE616" s="119"/>
    </row>
    <row r="617" spans="1:31" ht="14.25" x14ac:dyDescent="0.2">
      <c r="A617" s="119"/>
      <c r="B617" s="119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  <c r="AE617" s="119"/>
    </row>
    <row r="618" spans="1:31" ht="14.25" x14ac:dyDescent="0.2">
      <c r="A618" s="119"/>
      <c r="B618" s="119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  <c r="AE618" s="119"/>
    </row>
    <row r="619" spans="1:31" ht="14.25" x14ac:dyDescent="0.2">
      <c r="A619" s="119"/>
      <c r="B619" s="119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  <c r="AE619" s="119"/>
    </row>
    <row r="620" spans="1:31" ht="14.25" x14ac:dyDescent="0.2">
      <c r="A620" s="119"/>
      <c r="B620" s="119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  <c r="AE620" s="119"/>
    </row>
    <row r="621" spans="1:31" ht="14.25" x14ac:dyDescent="0.2">
      <c r="A621" s="119"/>
      <c r="B621" s="119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  <c r="AE621" s="119"/>
    </row>
    <row r="622" spans="1:31" ht="14.25" x14ac:dyDescent="0.2">
      <c r="A622" s="119"/>
      <c r="B622" s="119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  <c r="AE622" s="119"/>
    </row>
    <row r="623" spans="1:31" ht="14.25" x14ac:dyDescent="0.2">
      <c r="A623" s="119"/>
      <c r="B623" s="119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  <c r="AE623" s="119"/>
    </row>
    <row r="624" spans="1:31" ht="14.25" x14ac:dyDescent="0.2">
      <c r="A624" s="119"/>
      <c r="B624" s="119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  <c r="AE624" s="119"/>
    </row>
    <row r="625" spans="1:31" ht="14.25" x14ac:dyDescent="0.2">
      <c r="A625" s="119"/>
      <c r="B625" s="119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  <c r="AE625" s="119"/>
    </row>
    <row r="626" spans="1:31" ht="14.25" x14ac:dyDescent="0.2">
      <c r="A626" s="119"/>
      <c r="B626" s="119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  <c r="AE626" s="119"/>
    </row>
    <row r="627" spans="1:31" ht="14.25" x14ac:dyDescent="0.2">
      <c r="A627" s="119"/>
      <c r="B627" s="119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  <c r="AE627" s="119"/>
    </row>
    <row r="628" spans="1:31" ht="14.25" x14ac:dyDescent="0.2">
      <c r="A628" s="119"/>
      <c r="B628" s="119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  <c r="AE628" s="119"/>
    </row>
    <row r="629" spans="1:31" ht="14.25" x14ac:dyDescent="0.2">
      <c r="A629" s="119"/>
      <c r="B629" s="119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  <c r="AE629" s="119"/>
    </row>
    <row r="630" spans="1:31" ht="14.25" x14ac:dyDescent="0.2">
      <c r="A630" s="119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  <c r="AE630" s="119"/>
    </row>
    <row r="631" spans="1:31" ht="14.25" x14ac:dyDescent="0.2">
      <c r="A631" s="119"/>
      <c r="B631" s="119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  <c r="AE631" s="119"/>
    </row>
    <row r="632" spans="1:31" ht="14.25" x14ac:dyDescent="0.2">
      <c r="A632" s="119"/>
      <c r="B632" s="119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  <c r="AE632" s="119"/>
    </row>
    <row r="633" spans="1:31" ht="14.25" x14ac:dyDescent="0.2">
      <c r="A633" s="119"/>
      <c r="B633" s="119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  <c r="AE633" s="119"/>
    </row>
    <row r="634" spans="1:31" ht="14.25" x14ac:dyDescent="0.2">
      <c r="A634" s="119"/>
      <c r="B634" s="119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  <c r="AE634" s="119"/>
    </row>
    <row r="635" spans="1:31" ht="14.25" x14ac:dyDescent="0.2">
      <c r="A635" s="119"/>
      <c r="B635" s="119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  <c r="AE635" s="119"/>
    </row>
    <row r="636" spans="1:31" ht="14.25" x14ac:dyDescent="0.2">
      <c r="A636" s="119"/>
      <c r="B636" s="119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  <c r="AE636" s="119"/>
    </row>
    <row r="637" spans="1:31" ht="14.25" x14ac:dyDescent="0.2">
      <c r="A637" s="119"/>
      <c r="B637" s="119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  <c r="AE637" s="119"/>
    </row>
    <row r="638" spans="1:31" ht="14.25" x14ac:dyDescent="0.2">
      <c r="A638" s="119"/>
      <c r="B638" s="119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  <c r="AE638" s="119"/>
    </row>
    <row r="639" spans="1:31" ht="14.25" x14ac:dyDescent="0.2">
      <c r="A639" s="119"/>
      <c r="B639" s="119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  <c r="AE639" s="119"/>
    </row>
    <row r="640" spans="1:31" ht="14.25" x14ac:dyDescent="0.2">
      <c r="A640" s="119"/>
      <c r="B640" s="119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  <c r="AE640" s="119"/>
    </row>
    <row r="641" spans="1:31" ht="14.25" x14ac:dyDescent="0.2">
      <c r="A641" s="119"/>
      <c r="B641" s="119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  <c r="AE641" s="119"/>
    </row>
    <row r="642" spans="1:31" ht="14.25" x14ac:dyDescent="0.2">
      <c r="A642" s="119"/>
      <c r="B642" s="119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  <c r="AE642" s="119"/>
    </row>
    <row r="643" spans="1:31" ht="14.25" x14ac:dyDescent="0.2">
      <c r="A643" s="119"/>
      <c r="B643" s="119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  <c r="AE643" s="119"/>
    </row>
    <row r="644" spans="1:31" ht="14.25" x14ac:dyDescent="0.2">
      <c r="A644" s="119"/>
      <c r="B644" s="119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  <c r="AE644" s="119"/>
    </row>
    <row r="645" spans="1:31" ht="14.25" x14ac:dyDescent="0.2">
      <c r="A645" s="119"/>
      <c r="B645" s="119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  <c r="AE645" s="119"/>
    </row>
    <row r="646" spans="1:31" ht="14.25" x14ac:dyDescent="0.2">
      <c r="A646" s="119"/>
      <c r="B646" s="119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  <c r="AE646" s="119"/>
    </row>
    <row r="647" spans="1:31" ht="14.25" x14ac:dyDescent="0.2">
      <c r="A647" s="119"/>
      <c r="B647" s="119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  <c r="AE647" s="119"/>
    </row>
    <row r="648" spans="1:31" ht="14.25" x14ac:dyDescent="0.2">
      <c r="A648" s="119"/>
      <c r="B648" s="119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  <c r="AE648" s="119"/>
    </row>
    <row r="649" spans="1:31" ht="14.25" x14ac:dyDescent="0.2">
      <c r="A649" s="119"/>
      <c r="B649" s="119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  <c r="AE649" s="119"/>
    </row>
    <row r="650" spans="1:31" ht="14.25" x14ac:dyDescent="0.2">
      <c r="A650" s="119"/>
      <c r="B650" s="119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  <c r="AE650" s="119"/>
    </row>
    <row r="651" spans="1:31" ht="14.25" x14ac:dyDescent="0.2">
      <c r="A651" s="119"/>
      <c r="B651" s="119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  <c r="AE651" s="119"/>
    </row>
    <row r="652" spans="1:31" ht="14.25" x14ac:dyDescent="0.2">
      <c r="A652" s="119"/>
      <c r="B652" s="119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  <c r="AE652" s="119"/>
    </row>
    <row r="653" spans="1:31" ht="14.25" x14ac:dyDescent="0.2">
      <c r="A653" s="119"/>
      <c r="B653" s="119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  <c r="AE653" s="119"/>
    </row>
    <row r="654" spans="1:31" ht="14.25" x14ac:dyDescent="0.2">
      <c r="A654" s="119"/>
      <c r="B654" s="119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  <c r="AE654" s="119"/>
    </row>
    <row r="655" spans="1:31" ht="14.25" x14ac:dyDescent="0.2">
      <c r="A655" s="119"/>
      <c r="B655" s="119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  <c r="AE655" s="119"/>
    </row>
    <row r="656" spans="1:31" ht="14.25" x14ac:dyDescent="0.2">
      <c r="A656" s="119"/>
      <c r="B656" s="119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  <c r="AE656" s="119"/>
    </row>
    <row r="657" spans="1:31" ht="14.25" x14ac:dyDescent="0.2">
      <c r="A657" s="119"/>
      <c r="B657" s="119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  <c r="AE657" s="119"/>
    </row>
    <row r="658" spans="1:31" ht="14.25" x14ac:dyDescent="0.2">
      <c r="A658" s="119"/>
      <c r="B658" s="119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  <c r="AE658" s="119"/>
    </row>
    <row r="659" spans="1:31" ht="14.25" x14ac:dyDescent="0.2">
      <c r="A659" s="119"/>
      <c r="B659" s="119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  <c r="AE659" s="119"/>
    </row>
    <row r="660" spans="1:31" ht="14.25" x14ac:dyDescent="0.2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  <c r="AE660" s="119"/>
    </row>
    <row r="661" spans="1:31" ht="14.25" x14ac:dyDescent="0.2">
      <c r="A661" s="119"/>
      <c r="B661" s="119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  <c r="AE661" s="119"/>
    </row>
    <row r="662" spans="1:31" ht="14.25" x14ac:dyDescent="0.2">
      <c r="A662" s="119"/>
      <c r="B662" s="119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  <c r="AE662" s="119"/>
    </row>
    <row r="663" spans="1:31" ht="14.25" x14ac:dyDescent="0.2">
      <c r="A663" s="119"/>
      <c r="B663" s="119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  <c r="AE663" s="119"/>
    </row>
    <row r="664" spans="1:31" ht="14.25" x14ac:dyDescent="0.2">
      <c r="A664" s="119"/>
      <c r="B664" s="119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  <c r="AE664" s="119"/>
    </row>
    <row r="665" spans="1:31" ht="14.25" x14ac:dyDescent="0.2">
      <c r="A665" s="119"/>
      <c r="B665" s="119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  <c r="AE665" s="119"/>
    </row>
    <row r="666" spans="1:31" ht="14.25" x14ac:dyDescent="0.2">
      <c r="A666" s="119"/>
      <c r="B666" s="119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  <c r="AE666" s="119"/>
    </row>
    <row r="667" spans="1:31" ht="14.25" x14ac:dyDescent="0.2">
      <c r="A667" s="119"/>
      <c r="B667" s="119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  <c r="AE667" s="119"/>
    </row>
    <row r="668" spans="1:31" ht="14.25" x14ac:dyDescent="0.2">
      <c r="A668" s="119"/>
      <c r="B668" s="119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  <c r="AE668" s="119"/>
    </row>
    <row r="669" spans="1:31" ht="14.25" x14ac:dyDescent="0.2">
      <c r="A669" s="119"/>
      <c r="B669" s="119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  <c r="AE669" s="119"/>
    </row>
    <row r="670" spans="1:31" ht="14.25" x14ac:dyDescent="0.2">
      <c r="A670" s="119"/>
      <c r="B670" s="119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  <c r="AE670" s="119"/>
    </row>
    <row r="671" spans="1:31" ht="14.25" x14ac:dyDescent="0.2">
      <c r="A671" s="119"/>
      <c r="B671" s="119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  <c r="AE671" s="119"/>
    </row>
    <row r="672" spans="1:31" ht="14.25" x14ac:dyDescent="0.2">
      <c r="A672" s="119"/>
      <c r="B672" s="119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  <c r="AE672" s="119"/>
    </row>
    <row r="673" spans="1:31" ht="14.25" x14ac:dyDescent="0.2">
      <c r="A673" s="119"/>
      <c r="B673" s="119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  <c r="AE673" s="119"/>
    </row>
    <row r="674" spans="1:31" ht="14.25" x14ac:dyDescent="0.2">
      <c r="A674" s="119"/>
      <c r="B674" s="119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  <c r="AE674" s="119"/>
    </row>
    <row r="675" spans="1:31" ht="14.25" x14ac:dyDescent="0.2">
      <c r="A675" s="119"/>
      <c r="B675" s="119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  <c r="AE675" s="119"/>
    </row>
    <row r="676" spans="1:31" ht="14.25" x14ac:dyDescent="0.2">
      <c r="A676" s="119"/>
      <c r="B676" s="119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  <c r="AE676" s="119"/>
    </row>
    <row r="677" spans="1:31" ht="14.25" x14ac:dyDescent="0.2">
      <c r="A677" s="119"/>
      <c r="B677" s="119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  <c r="AE677" s="119"/>
    </row>
    <row r="678" spans="1:31" ht="14.25" x14ac:dyDescent="0.2">
      <c r="A678" s="119"/>
      <c r="B678" s="119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  <c r="AE678" s="119"/>
    </row>
    <row r="679" spans="1:31" ht="14.25" x14ac:dyDescent="0.2">
      <c r="A679" s="119"/>
      <c r="B679" s="119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  <c r="AE679" s="119"/>
    </row>
    <row r="680" spans="1:31" ht="14.25" x14ac:dyDescent="0.2">
      <c r="A680" s="119"/>
      <c r="B680" s="119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  <c r="AE680" s="119"/>
    </row>
    <row r="681" spans="1:31" ht="14.25" x14ac:dyDescent="0.2">
      <c r="A681" s="119"/>
      <c r="B681" s="119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  <c r="AE681" s="119"/>
    </row>
    <row r="682" spans="1:31" ht="14.25" x14ac:dyDescent="0.2">
      <c r="A682" s="119"/>
      <c r="B682" s="119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  <c r="AE682" s="119"/>
    </row>
    <row r="683" spans="1:31" ht="14.25" x14ac:dyDescent="0.2">
      <c r="A683" s="119"/>
      <c r="B683" s="119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  <c r="AE683" s="119"/>
    </row>
    <row r="684" spans="1:31" ht="14.25" x14ac:dyDescent="0.2">
      <c r="A684" s="119"/>
      <c r="B684" s="119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  <c r="AE684" s="119"/>
    </row>
    <row r="685" spans="1:31" ht="14.25" x14ac:dyDescent="0.2">
      <c r="A685" s="119"/>
      <c r="B685" s="119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  <c r="AE685" s="119"/>
    </row>
    <row r="686" spans="1:31" ht="14.25" x14ac:dyDescent="0.2">
      <c r="A686" s="119"/>
      <c r="B686" s="119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  <c r="AE686" s="119"/>
    </row>
    <row r="687" spans="1:31" ht="14.25" x14ac:dyDescent="0.2">
      <c r="A687" s="119"/>
      <c r="B687" s="119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  <c r="AE687" s="119"/>
    </row>
    <row r="688" spans="1:31" ht="14.25" x14ac:dyDescent="0.2">
      <c r="A688" s="119"/>
      <c r="B688" s="119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  <c r="AE688" s="119"/>
    </row>
    <row r="689" spans="1:31" ht="14.25" x14ac:dyDescent="0.2">
      <c r="A689" s="119"/>
      <c r="B689" s="119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  <c r="AE689" s="119"/>
    </row>
    <row r="690" spans="1:31" ht="14.25" x14ac:dyDescent="0.2">
      <c r="A690" s="119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  <c r="AE690" s="119"/>
    </row>
    <row r="691" spans="1:31" ht="14.25" x14ac:dyDescent="0.2">
      <c r="A691" s="119"/>
      <c r="B691" s="119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  <c r="AE691" s="119"/>
    </row>
    <row r="692" spans="1:31" ht="14.25" x14ac:dyDescent="0.2">
      <c r="A692" s="119"/>
      <c r="B692" s="119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  <c r="AE692" s="119"/>
    </row>
    <row r="693" spans="1:31" ht="14.25" x14ac:dyDescent="0.2">
      <c r="A693" s="119"/>
      <c r="B693" s="119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  <c r="AE693" s="119"/>
    </row>
    <row r="694" spans="1:31" ht="14.25" x14ac:dyDescent="0.2">
      <c r="A694" s="119"/>
      <c r="B694" s="119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  <c r="AE694" s="119"/>
    </row>
    <row r="695" spans="1:31" ht="14.25" x14ac:dyDescent="0.2">
      <c r="A695" s="119"/>
      <c r="B695" s="119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  <c r="AE695" s="119"/>
    </row>
    <row r="696" spans="1:31" ht="14.25" x14ac:dyDescent="0.2">
      <c r="A696" s="119"/>
      <c r="B696" s="119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  <c r="AE696" s="119"/>
    </row>
    <row r="697" spans="1:31" ht="14.25" x14ac:dyDescent="0.2">
      <c r="A697" s="119"/>
      <c r="B697" s="119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  <c r="AE697" s="119"/>
    </row>
    <row r="698" spans="1:31" ht="14.25" x14ac:dyDescent="0.2">
      <c r="A698" s="119"/>
      <c r="B698" s="119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  <c r="AE698" s="119"/>
    </row>
    <row r="699" spans="1:31" ht="14.25" x14ac:dyDescent="0.2">
      <c r="A699" s="119"/>
      <c r="B699" s="119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  <c r="AE699" s="119"/>
    </row>
    <row r="700" spans="1:31" ht="14.25" x14ac:dyDescent="0.2">
      <c r="A700" s="119"/>
      <c r="B700" s="119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  <c r="AE700" s="119"/>
    </row>
    <row r="701" spans="1:31" ht="14.25" x14ac:dyDescent="0.2">
      <c r="A701" s="119"/>
      <c r="B701" s="119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  <c r="AE701" s="119"/>
    </row>
    <row r="702" spans="1:31" ht="14.25" x14ac:dyDescent="0.2">
      <c r="A702" s="119"/>
      <c r="B702" s="119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  <c r="AE702" s="119"/>
    </row>
    <row r="703" spans="1:31" ht="14.25" x14ac:dyDescent="0.2">
      <c r="A703" s="119"/>
      <c r="B703" s="119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  <c r="AE703" s="119"/>
    </row>
    <row r="704" spans="1:31" ht="14.25" x14ac:dyDescent="0.2">
      <c r="A704" s="119"/>
      <c r="B704" s="119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  <c r="AE704" s="119"/>
    </row>
    <row r="705" spans="1:31" ht="14.25" x14ac:dyDescent="0.2">
      <c r="A705" s="119"/>
      <c r="B705" s="119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  <c r="AE705" s="119"/>
    </row>
    <row r="706" spans="1:31" ht="14.25" x14ac:dyDescent="0.2">
      <c r="A706" s="119"/>
      <c r="B706" s="119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  <c r="AE706" s="119"/>
    </row>
    <row r="707" spans="1:31" ht="14.25" x14ac:dyDescent="0.2">
      <c r="A707" s="119"/>
      <c r="B707" s="119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  <c r="AE707" s="119"/>
    </row>
    <row r="708" spans="1:31" ht="14.25" x14ac:dyDescent="0.2">
      <c r="A708" s="119"/>
      <c r="B708" s="119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  <c r="AE708" s="119"/>
    </row>
    <row r="709" spans="1:31" ht="14.25" x14ac:dyDescent="0.2">
      <c r="A709" s="119"/>
      <c r="B709" s="119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  <c r="AE709" s="119"/>
    </row>
    <row r="710" spans="1:31" ht="14.25" x14ac:dyDescent="0.2">
      <c r="A710" s="119"/>
      <c r="B710" s="119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  <c r="AE710" s="119"/>
    </row>
    <row r="711" spans="1:31" ht="14.25" x14ac:dyDescent="0.2">
      <c r="A711" s="119"/>
      <c r="B711" s="119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  <c r="AE711" s="119"/>
    </row>
    <row r="712" spans="1:31" ht="14.25" x14ac:dyDescent="0.2">
      <c r="A712" s="119"/>
      <c r="B712" s="119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  <c r="AE712" s="119"/>
    </row>
    <row r="713" spans="1:31" ht="14.25" x14ac:dyDescent="0.2">
      <c r="A713" s="119"/>
      <c r="B713" s="119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  <c r="AE713" s="119"/>
    </row>
    <row r="714" spans="1:31" ht="14.25" x14ac:dyDescent="0.2">
      <c r="A714" s="119"/>
      <c r="B714" s="119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  <c r="AE714" s="119"/>
    </row>
    <row r="715" spans="1:31" ht="14.25" x14ac:dyDescent="0.2">
      <c r="A715" s="119"/>
      <c r="B715" s="119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  <c r="AE715" s="119"/>
    </row>
    <row r="716" spans="1:31" ht="14.25" x14ac:dyDescent="0.2">
      <c r="A716" s="119"/>
      <c r="B716" s="119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  <c r="AE716" s="119"/>
    </row>
    <row r="717" spans="1:31" ht="14.25" x14ac:dyDescent="0.2">
      <c r="A717" s="119"/>
      <c r="B717" s="119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  <c r="AE717" s="119"/>
    </row>
    <row r="718" spans="1:31" ht="14.25" x14ac:dyDescent="0.2">
      <c r="A718" s="119"/>
      <c r="B718" s="119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  <c r="AE718" s="119"/>
    </row>
    <row r="719" spans="1:31" ht="14.25" x14ac:dyDescent="0.2">
      <c r="A719" s="119"/>
      <c r="B719" s="119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  <c r="AE719" s="119"/>
    </row>
    <row r="720" spans="1:31" ht="14.25" x14ac:dyDescent="0.2">
      <c r="A720" s="119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  <c r="AE720" s="119"/>
    </row>
    <row r="721" spans="1:31" ht="14.25" x14ac:dyDescent="0.2">
      <c r="A721" s="119"/>
      <c r="B721" s="119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  <c r="AE721" s="119"/>
    </row>
    <row r="722" spans="1:31" ht="14.25" x14ac:dyDescent="0.2">
      <c r="A722" s="119"/>
      <c r="B722" s="119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  <c r="AE722" s="119"/>
    </row>
    <row r="723" spans="1:31" ht="14.25" x14ac:dyDescent="0.2">
      <c r="A723" s="119"/>
      <c r="B723" s="119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  <c r="AE723" s="119"/>
    </row>
    <row r="724" spans="1:31" ht="14.25" x14ac:dyDescent="0.2">
      <c r="A724" s="119"/>
      <c r="B724" s="119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  <c r="AE724" s="119"/>
    </row>
    <row r="725" spans="1:31" ht="14.25" x14ac:dyDescent="0.2">
      <c r="A725" s="119"/>
      <c r="B725" s="119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  <c r="AE725" s="119"/>
    </row>
    <row r="726" spans="1:31" ht="14.25" x14ac:dyDescent="0.2">
      <c r="A726" s="119"/>
      <c r="B726" s="119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  <c r="AE726" s="119"/>
    </row>
    <row r="727" spans="1:31" ht="14.25" x14ac:dyDescent="0.2">
      <c r="A727" s="119"/>
      <c r="B727" s="119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  <c r="AE727" s="119"/>
    </row>
    <row r="728" spans="1:31" ht="14.25" x14ac:dyDescent="0.2">
      <c r="A728" s="119"/>
      <c r="B728" s="119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  <c r="AE728" s="119"/>
    </row>
    <row r="729" spans="1:31" ht="14.25" x14ac:dyDescent="0.2">
      <c r="A729" s="119"/>
      <c r="B729" s="119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  <c r="AE729" s="119"/>
    </row>
    <row r="730" spans="1:31" ht="14.25" x14ac:dyDescent="0.2">
      <c r="A730" s="119"/>
      <c r="B730" s="119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  <c r="AE730" s="119"/>
    </row>
    <row r="731" spans="1:31" ht="14.25" x14ac:dyDescent="0.2">
      <c r="A731" s="119"/>
      <c r="B731" s="119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  <c r="AE731" s="119"/>
    </row>
    <row r="732" spans="1:31" ht="14.25" x14ac:dyDescent="0.2">
      <c r="A732" s="119"/>
      <c r="B732" s="119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  <c r="AE732" s="119"/>
    </row>
    <row r="733" spans="1:31" ht="14.25" x14ac:dyDescent="0.2">
      <c r="A733" s="119"/>
      <c r="B733" s="119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  <c r="AE733" s="119"/>
    </row>
    <row r="734" spans="1:31" ht="14.25" x14ac:dyDescent="0.2">
      <c r="A734" s="119"/>
      <c r="B734" s="119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  <c r="AE734" s="119"/>
    </row>
    <row r="735" spans="1:31" ht="14.25" x14ac:dyDescent="0.2">
      <c r="A735" s="119"/>
      <c r="B735" s="119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  <c r="AE735" s="119"/>
    </row>
    <row r="736" spans="1:31" ht="14.25" x14ac:dyDescent="0.2">
      <c r="A736" s="119"/>
      <c r="B736" s="119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  <c r="AE736" s="119"/>
    </row>
    <row r="737" spans="1:31" ht="14.25" x14ac:dyDescent="0.2">
      <c r="A737" s="119"/>
      <c r="B737" s="119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  <c r="AE737" s="119"/>
    </row>
    <row r="738" spans="1:31" ht="14.25" x14ac:dyDescent="0.2">
      <c r="A738" s="119"/>
      <c r="B738" s="119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  <c r="AE738" s="119"/>
    </row>
    <row r="739" spans="1:31" ht="14.25" x14ac:dyDescent="0.2">
      <c r="A739" s="119"/>
      <c r="B739" s="119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  <c r="AE739" s="119"/>
    </row>
    <row r="740" spans="1:31" ht="14.25" x14ac:dyDescent="0.2">
      <c r="A740" s="119"/>
      <c r="B740" s="119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  <c r="AE740" s="119"/>
    </row>
    <row r="741" spans="1:31" ht="14.25" x14ac:dyDescent="0.2">
      <c r="A741" s="119"/>
      <c r="B741" s="119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  <c r="AE741" s="119"/>
    </row>
    <row r="742" spans="1:31" ht="14.25" x14ac:dyDescent="0.2">
      <c r="A742" s="119"/>
      <c r="B742" s="119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  <c r="AE742" s="119"/>
    </row>
    <row r="743" spans="1:31" ht="14.25" x14ac:dyDescent="0.2">
      <c r="A743" s="119"/>
      <c r="B743" s="119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  <c r="AE743" s="119"/>
    </row>
    <row r="744" spans="1:31" ht="14.25" x14ac:dyDescent="0.2">
      <c r="A744" s="119"/>
      <c r="B744" s="119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  <c r="AE744" s="119"/>
    </row>
    <row r="745" spans="1:31" ht="14.25" x14ac:dyDescent="0.2">
      <c r="A745" s="119"/>
      <c r="B745" s="119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  <c r="AE745" s="119"/>
    </row>
    <row r="746" spans="1:31" ht="14.25" x14ac:dyDescent="0.2">
      <c r="A746" s="119"/>
      <c r="B746" s="119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  <c r="AE746" s="119"/>
    </row>
    <row r="747" spans="1:31" ht="14.25" x14ac:dyDescent="0.2">
      <c r="A747" s="119"/>
      <c r="B747" s="119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  <c r="AE747" s="119"/>
    </row>
    <row r="748" spans="1:31" ht="14.25" x14ac:dyDescent="0.2">
      <c r="A748" s="119"/>
      <c r="B748" s="119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  <c r="AE748" s="119"/>
    </row>
    <row r="749" spans="1:31" ht="14.25" x14ac:dyDescent="0.2">
      <c r="A749" s="119"/>
      <c r="B749" s="119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  <c r="AE749" s="119"/>
    </row>
    <row r="750" spans="1:31" ht="14.25" x14ac:dyDescent="0.2">
      <c r="A750" s="119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  <c r="AE750" s="119"/>
    </row>
    <row r="751" spans="1:31" ht="14.25" x14ac:dyDescent="0.2">
      <c r="A751" s="119"/>
      <c r="B751" s="119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  <c r="AE751" s="119"/>
    </row>
    <row r="752" spans="1:31" ht="14.25" x14ac:dyDescent="0.2">
      <c r="A752" s="119"/>
      <c r="B752" s="119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  <c r="AE752" s="119"/>
    </row>
    <row r="753" spans="1:31" ht="14.25" x14ac:dyDescent="0.2">
      <c r="A753" s="119"/>
      <c r="B753" s="119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  <c r="AE753" s="119"/>
    </row>
    <row r="754" spans="1:31" ht="14.25" x14ac:dyDescent="0.2">
      <c r="A754" s="119"/>
      <c r="B754" s="119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  <c r="AE754" s="119"/>
    </row>
    <row r="755" spans="1:31" ht="14.25" x14ac:dyDescent="0.2">
      <c r="A755" s="119"/>
      <c r="B755" s="119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  <c r="AE755" s="119"/>
    </row>
    <row r="756" spans="1:31" ht="14.25" x14ac:dyDescent="0.2">
      <c r="A756" s="119"/>
      <c r="B756" s="119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  <c r="AE756" s="119"/>
    </row>
    <row r="757" spans="1:31" ht="14.25" x14ac:dyDescent="0.2">
      <c r="A757" s="119"/>
      <c r="B757" s="119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  <c r="AE757" s="119"/>
    </row>
    <row r="758" spans="1:31" ht="14.25" x14ac:dyDescent="0.2">
      <c r="A758" s="119"/>
      <c r="B758" s="119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  <c r="AE758" s="119"/>
    </row>
    <row r="759" spans="1:31" ht="14.25" x14ac:dyDescent="0.2">
      <c r="A759" s="119"/>
      <c r="B759" s="119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  <c r="AE759" s="119"/>
    </row>
    <row r="760" spans="1:31" ht="14.25" x14ac:dyDescent="0.2">
      <c r="A760" s="119"/>
      <c r="B760" s="119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  <c r="AE760" s="119"/>
    </row>
    <row r="761" spans="1:31" ht="14.25" x14ac:dyDescent="0.2">
      <c r="A761" s="119"/>
      <c r="B761" s="119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  <c r="AE761" s="119"/>
    </row>
    <row r="762" spans="1:31" ht="14.25" x14ac:dyDescent="0.2">
      <c r="A762" s="119"/>
      <c r="B762" s="119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  <c r="AE762" s="119"/>
    </row>
    <row r="763" spans="1:31" ht="14.25" x14ac:dyDescent="0.2">
      <c r="A763" s="119"/>
      <c r="B763" s="119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  <c r="AE763" s="119"/>
    </row>
    <row r="764" spans="1:31" ht="14.25" x14ac:dyDescent="0.2">
      <c r="A764" s="119"/>
      <c r="B764" s="119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  <c r="AE764" s="119"/>
    </row>
    <row r="765" spans="1:31" ht="14.25" x14ac:dyDescent="0.2">
      <c r="A765" s="119"/>
      <c r="B765" s="119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  <c r="AE765" s="119"/>
    </row>
    <row r="766" spans="1:31" ht="14.25" x14ac:dyDescent="0.2">
      <c r="A766" s="119"/>
      <c r="B766" s="119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  <c r="AE766" s="119"/>
    </row>
    <row r="767" spans="1:31" ht="14.25" x14ac:dyDescent="0.2">
      <c r="A767" s="119"/>
      <c r="B767" s="119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  <c r="AE767" s="119"/>
    </row>
    <row r="768" spans="1:31" ht="14.25" x14ac:dyDescent="0.2">
      <c r="A768" s="119"/>
      <c r="B768" s="119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  <c r="AE768" s="119"/>
    </row>
    <row r="769" spans="1:31" ht="14.25" x14ac:dyDescent="0.2">
      <c r="A769" s="119"/>
      <c r="B769" s="119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  <c r="AE769" s="119"/>
    </row>
    <row r="770" spans="1:31" ht="14.25" x14ac:dyDescent="0.2">
      <c r="A770" s="119"/>
      <c r="B770" s="119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  <c r="AE770" s="119"/>
    </row>
    <row r="771" spans="1:31" ht="14.25" x14ac:dyDescent="0.2">
      <c r="A771" s="119"/>
      <c r="B771" s="119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  <c r="AE771" s="119"/>
    </row>
    <row r="772" spans="1:31" ht="14.25" x14ac:dyDescent="0.2">
      <c r="A772" s="119"/>
      <c r="B772" s="119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  <c r="AE772" s="119"/>
    </row>
    <row r="773" spans="1:31" ht="14.25" x14ac:dyDescent="0.2">
      <c r="A773" s="119"/>
      <c r="B773" s="119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  <c r="AE773" s="119"/>
    </row>
    <row r="774" spans="1:31" ht="14.25" x14ac:dyDescent="0.2">
      <c r="A774" s="119"/>
      <c r="B774" s="119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  <c r="AE774" s="119"/>
    </row>
    <row r="775" spans="1:31" ht="14.25" x14ac:dyDescent="0.2">
      <c r="A775" s="119"/>
      <c r="B775" s="119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  <c r="AE775" s="119"/>
    </row>
    <row r="776" spans="1:31" ht="14.25" x14ac:dyDescent="0.2">
      <c r="A776" s="119"/>
      <c r="B776" s="119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  <c r="AE776" s="119"/>
    </row>
    <row r="777" spans="1:31" ht="14.25" x14ac:dyDescent="0.2">
      <c r="A777" s="119"/>
      <c r="B777" s="119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  <c r="AE777" s="119"/>
    </row>
    <row r="778" spans="1:31" ht="14.25" x14ac:dyDescent="0.2">
      <c r="A778" s="119"/>
      <c r="B778" s="119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  <c r="AE778" s="119"/>
    </row>
    <row r="779" spans="1:31" ht="14.25" x14ac:dyDescent="0.2">
      <c r="A779" s="119"/>
      <c r="B779" s="119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  <c r="AE779" s="119"/>
    </row>
    <row r="780" spans="1:31" ht="14.25" x14ac:dyDescent="0.2">
      <c r="A780" s="119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  <c r="AE780" s="119"/>
    </row>
    <row r="781" spans="1:31" ht="14.25" x14ac:dyDescent="0.2">
      <c r="A781" s="119"/>
      <c r="B781" s="119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  <c r="AE781" s="119"/>
    </row>
    <row r="782" spans="1:31" ht="14.25" x14ac:dyDescent="0.2">
      <c r="A782" s="119"/>
      <c r="B782" s="119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  <c r="AE782" s="119"/>
    </row>
    <row r="783" spans="1:31" ht="14.25" x14ac:dyDescent="0.2">
      <c r="A783" s="119"/>
      <c r="B783" s="119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  <c r="AE783" s="119"/>
    </row>
    <row r="784" spans="1:31" ht="14.25" x14ac:dyDescent="0.2">
      <c r="A784" s="119"/>
      <c r="B784" s="119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  <c r="AE784" s="119"/>
    </row>
    <row r="785" spans="1:31" ht="14.25" x14ac:dyDescent="0.2">
      <c r="A785" s="119"/>
      <c r="B785" s="119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  <c r="AE785" s="119"/>
    </row>
    <row r="786" spans="1:31" ht="14.25" x14ac:dyDescent="0.2">
      <c r="A786" s="119"/>
      <c r="B786" s="119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  <c r="AE786" s="119"/>
    </row>
    <row r="787" spans="1:31" ht="14.25" x14ac:dyDescent="0.2">
      <c r="A787" s="119"/>
      <c r="B787" s="119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  <c r="AE787" s="119"/>
    </row>
    <row r="788" spans="1:31" ht="14.25" x14ac:dyDescent="0.2">
      <c r="A788" s="119"/>
      <c r="B788" s="119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  <c r="AE788" s="119"/>
    </row>
    <row r="789" spans="1:31" ht="14.25" x14ac:dyDescent="0.2">
      <c r="A789" s="119"/>
      <c r="B789" s="119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  <c r="AE789" s="119"/>
    </row>
    <row r="790" spans="1:31" ht="14.25" x14ac:dyDescent="0.2">
      <c r="A790" s="119"/>
      <c r="B790" s="119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  <c r="AE790" s="119"/>
    </row>
    <row r="791" spans="1:31" ht="14.25" x14ac:dyDescent="0.2">
      <c r="A791" s="119"/>
      <c r="B791" s="119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  <c r="AE791" s="119"/>
    </row>
    <row r="792" spans="1:31" ht="14.25" x14ac:dyDescent="0.2">
      <c r="A792" s="119"/>
      <c r="B792" s="119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  <c r="AE792" s="119"/>
    </row>
    <row r="793" spans="1:31" ht="14.25" x14ac:dyDescent="0.2">
      <c r="A793" s="119"/>
      <c r="B793" s="119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  <c r="AE793" s="119"/>
    </row>
    <row r="794" spans="1:31" ht="14.25" x14ac:dyDescent="0.2">
      <c r="A794" s="119"/>
      <c r="B794" s="119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  <c r="AE794" s="119"/>
    </row>
    <row r="795" spans="1:31" ht="14.25" x14ac:dyDescent="0.2">
      <c r="A795" s="119"/>
      <c r="B795" s="119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  <c r="AE795" s="119"/>
    </row>
    <row r="796" spans="1:31" ht="14.25" x14ac:dyDescent="0.2">
      <c r="A796" s="119"/>
      <c r="B796" s="119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  <c r="AE796" s="119"/>
    </row>
    <row r="797" spans="1:31" ht="14.25" x14ac:dyDescent="0.2">
      <c r="A797" s="119"/>
      <c r="B797" s="119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  <c r="AE797" s="119"/>
    </row>
    <row r="798" spans="1:31" ht="14.25" x14ac:dyDescent="0.2">
      <c r="A798" s="119"/>
      <c r="B798" s="119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  <c r="AE798" s="119"/>
    </row>
    <row r="799" spans="1:31" ht="14.25" x14ac:dyDescent="0.2">
      <c r="A799" s="119"/>
      <c r="B799" s="119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  <c r="AE799" s="119"/>
    </row>
    <row r="800" spans="1:31" ht="14.25" x14ac:dyDescent="0.2">
      <c r="A800" s="119"/>
      <c r="B800" s="119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  <c r="AE800" s="119"/>
    </row>
    <row r="801" spans="1:31" ht="14.25" x14ac:dyDescent="0.2">
      <c r="A801" s="119"/>
      <c r="B801" s="119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  <c r="AE801" s="119"/>
    </row>
    <row r="802" spans="1:31" ht="14.25" x14ac:dyDescent="0.2">
      <c r="A802" s="119"/>
      <c r="B802" s="119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  <c r="AE802" s="119"/>
    </row>
    <row r="803" spans="1:31" ht="14.25" x14ac:dyDescent="0.2">
      <c r="A803" s="119"/>
      <c r="B803" s="119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  <c r="AE803" s="119"/>
    </row>
    <row r="804" spans="1:31" ht="14.25" x14ac:dyDescent="0.2">
      <c r="A804" s="119"/>
      <c r="B804" s="119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  <c r="AE804" s="119"/>
    </row>
    <row r="805" spans="1:31" ht="14.25" x14ac:dyDescent="0.2">
      <c r="A805" s="119"/>
      <c r="B805" s="119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  <c r="AE805" s="119"/>
    </row>
    <row r="806" spans="1:31" ht="14.25" x14ac:dyDescent="0.2">
      <c r="A806" s="119"/>
      <c r="B806" s="119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  <c r="AE806" s="119"/>
    </row>
    <row r="807" spans="1:31" ht="14.25" x14ac:dyDescent="0.2">
      <c r="A807" s="119"/>
      <c r="B807" s="119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  <c r="AE807" s="119"/>
    </row>
    <row r="808" spans="1:31" ht="14.25" x14ac:dyDescent="0.2">
      <c r="A808" s="119"/>
      <c r="B808" s="119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  <c r="AE808" s="119"/>
    </row>
    <row r="809" spans="1:31" ht="14.25" x14ac:dyDescent="0.2">
      <c r="A809" s="119"/>
      <c r="B809" s="119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  <c r="AE809" s="119"/>
    </row>
    <row r="810" spans="1:31" ht="14.25" x14ac:dyDescent="0.2">
      <c r="A810" s="119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  <c r="AE810" s="119"/>
    </row>
    <row r="811" spans="1:31" ht="14.25" x14ac:dyDescent="0.2">
      <c r="A811" s="119"/>
      <c r="B811" s="119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  <c r="AE811" s="119"/>
    </row>
    <row r="812" spans="1:31" ht="14.25" x14ac:dyDescent="0.2">
      <c r="A812" s="119"/>
      <c r="B812" s="119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  <c r="AE812" s="119"/>
    </row>
    <row r="813" spans="1:31" ht="14.25" x14ac:dyDescent="0.2">
      <c r="A813" s="119"/>
      <c r="B813" s="119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  <c r="AE813" s="119"/>
    </row>
    <row r="814" spans="1:31" ht="14.25" x14ac:dyDescent="0.2">
      <c r="A814" s="119"/>
      <c r="B814" s="119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  <c r="AE814" s="119"/>
    </row>
    <row r="815" spans="1:31" ht="14.25" x14ac:dyDescent="0.2">
      <c r="A815" s="119"/>
      <c r="B815" s="119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  <c r="AE815" s="119"/>
    </row>
    <row r="816" spans="1:31" ht="14.25" x14ac:dyDescent="0.2">
      <c r="A816" s="119"/>
      <c r="B816" s="119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  <c r="AE816" s="119"/>
    </row>
    <row r="817" spans="1:31" ht="14.25" x14ac:dyDescent="0.2">
      <c r="A817" s="119"/>
      <c r="B817" s="119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  <c r="AE817" s="119"/>
    </row>
    <row r="818" spans="1:31" ht="14.25" x14ac:dyDescent="0.2">
      <c r="A818" s="119"/>
      <c r="B818" s="119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  <c r="AE818" s="119"/>
    </row>
    <row r="819" spans="1:31" ht="14.25" x14ac:dyDescent="0.2">
      <c r="A819" s="119"/>
      <c r="B819" s="119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  <c r="AE819" s="119"/>
    </row>
    <row r="820" spans="1:31" ht="14.25" x14ac:dyDescent="0.2">
      <c r="A820" s="119"/>
      <c r="B820" s="119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  <c r="AE820" s="119"/>
    </row>
    <row r="821" spans="1:31" ht="14.25" x14ac:dyDescent="0.2">
      <c r="A821" s="119"/>
      <c r="B821" s="119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  <c r="AE821" s="119"/>
    </row>
    <row r="822" spans="1:31" ht="14.25" x14ac:dyDescent="0.2">
      <c r="A822" s="119"/>
      <c r="B822" s="119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  <c r="AE822" s="119"/>
    </row>
    <row r="823" spans="1:31" ht="14.25" x14ac:dyDescent="0.2">
      <c r="A823" s="119"/>
      <c r="B823" s="119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  <c r="AE823" s="119"/>
    </row>
    <row r="824" spans="1:31" ht="14.25" x14ac:dyDescent="0.2">
      <c r="A824" s="119"/>
      <c r="B824" s="119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  <c r="AE824" s="119"/>
    </row>
    <row r="825" spans="1:31" ht="14.25" x14ac:dyDescent="0.2">
      <c r="A825" s="119"/>
      <c r="B825" s="119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  <c r="AE825" s="119"/>
    </row>
    <row r="826" spans="1:31" ht="14.25" x14ac:dyDescent="0.2">
      <c r="A826" s="119"/>
      <c r="B826" s="119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  <c r="AE826" s="119"/>
    </row>
    <row r="827" spans="1:31" ht="14.25" x14ac:dyDescent="0.2">
      <c r="A827" s="119"/>
      <c r="B827" s="119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  <c r="AE827" s="119"/>
    </row>
    <row r="828" spans="1:31" ht="14.25" x14ac:dyDescent="0.2">
      <c r="A828" s="119"/>
      <c r="B828" s="119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  <c r="AE828" s="119"/>
    </row>
    <row r="829" spans="1:31" ht="14.25" x14ac:dyDescent="0.2">
      <c r="A829" s="119"/>
      <c r="B829" s="119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  <c r="AE829" s="119"/>
    </row>
    <row r="830" spans="1:31" ht="14.25" x14ac:dyDescent="0.2">
      <c r="A830" s="119"/>
      <c r="B830" s="119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  <c r="AE830" s="119"/>
    </row>
    <row r="831" spans="1:31" ht="14.25" x14ac:dyDescent="0.2">
      <c r="A831" s="119"/>
      <c r="B831" s="119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  <c r="AE831" s="119"/>
    </row>
    <row r="832" spans="1:31" ht="14.25" x14ac:dyDescent="0.2">
      <c r="A832" s="119"/>
      <c r="B832" s="119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  <c r="AE832" s="119"/>
    </row>
    <row r="833" spans="1:31" ht="14.25" x14ac:dyDescent="0.2">
      <c r="A833" s="119"/>
      <c r="B833" s="119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  <c r="AE833" s="119"/>
    </row>
    <row r="834" spans="1:31" ht="14.25" x14ac:dyDescent="0.2">
      <c r="A834" s="119"/>
      <c r="B834" s="119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  <c r="AE834" s="119"/>
    </row>
    <row r="835" spans="1:31" ht="14.25" x14ac:dyDescent="0.2">
      <c r="A835" s="119"/>
      <c r="B835" s="119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  <c r="AE835" s="119"/>
    </row>
    <row r="836" spans="1:31" ht="14.25" x14ac:dyDescent="0.2">
      <c r="A836" s="119"/>
      <c r="B836" s="119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  <c r="AE836" s="119"/>
    </row>
    <row r="837" spans="1:31" ht="14.25" x14ac:dyDescent="0.2">
      <c r="A837" s="119"/>
      <c r="B837" s="119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  <c r="AE837" s="119"/>
    </row>
    <row r="838" spans="1:31" ht="14.25" x14ac:dyDescent="0.2">
      <c r="A838" s="119"/>
      <c r="B838" s="119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  <c r="AE838" s="119"/>
    </row>
    <row r="839" spans="1:31" ht="14.25" x14ac:dyDescent="0.2">
      <c r="A839" s="119"/>
      <c r="B839" s="119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  <c r="AE839" s="119"/>
    </row>
    <row r="840" spans="1:31" ht="14.25" x14ac:dyDescent="0.2">
      <c r="A840" s="119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  <c r="AE840" s="119"/>
    </row>
    <row r="841" spans="1:31" ht="14.25" x14ac:dyDescent="0.2">
      <c r="A841" s="119"/>
      <c r="B841" s="119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  <c r="AE841" s="119"/>
    </row>
    <row r="842" spans="1:31" ht="14.25" x14ac:dyDescent="0.2">
      <c r="A842" s="119"/>
      <c r="B842" s="119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  <c r="AE842" s="119"/>
    </row>
    <row r="843" spans="1:31" ht="14.25" x14ac:dyDescent="0.2">
      <c r="A843" s="119"/>
      <c r="B843" s="119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  <c r="AE843" s="119"/>
    </row>
    <row r="844" spans="1:31" ht="14.25" x14ac:dyDescent="0.2">
      <c r="A844" s="119"/>
      <c r="B844" s="119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  <c r="AE844" s="119"/>
    </row>
    <row r="845" spans="1:31" ht="14.25" x14ac:dyDescent="0.2">
      <c r="A845" s="119"/>
      <c r="B845" s="119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  <c r="AE845" s="119"/>
    </row>
    <row r="846" spans="1:31" ht="14.25" x14ac:dyDescent="0.2">
      <c r="A846" s="119"/>
      <c r="B846" s="119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  <c r="AE846" s="119"/>
    </row>
    <row r="847" spans="1:31" ht="14.25" x14ac:dyDescent="0.2">
      <c r="A847" s="119"/>
      <c r="B847" s="119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  <c r="AE847" s="119"/>
    </row>
    <row r="848" spans="1:31" ht="14.25" x14ac:dyDescent="0.2">
      <c r="A848" s="119"/>
      <c r="B848" s="119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  <c r="AE848" s="119"/>
    </row>
    <row r="849" spans="1:31" ht="14.25" x14ac:dyDescent="0.2">
      <c r="A849" s="119"/>
      <c r="B849" s="119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  <c r="AE849" s="119"/>
    </row>
    <row r="850" spans="1:31" ht="14.25" x14ac:dyDescent="0.2">
      <c r="A850" s="119"/>
      <c r="B850" s="119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  <c r="AE850" s="119"/>
    </row>
    <row r="851" spans="1:31" ht="14.25" x14ac:dyDescent="0.2">
      <c r="A851" s="119"/>
      <c r="B851" s="119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  <c r="AE851" s="119"/>
    </row>
    <row r="852" spans="1:31" ht="14.25" x14ac:dyDescent="0.2">
      <c r="A852" s="119"/>
      <c r="B852" s="119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  <c r="AE852" s="119"/>
    </row>
    <row r="853" spans="1:31" ht="14.25" x14ac:dyDescent="0.2">
      <c r="A853" s="119"/>
      <c r="B853" s="119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  <c r="AE853" s="119"/>
    </row>
    <row r="854" spans="1:31" ht="14.25" x14ac:dyDescent="0.2">
      <c r="A854" s="119"/>
      <c r="B854" s="119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  <c r="AE854" s="119"/>
    </row>
    <row r="855" spans="1:31" ht="14.25" x14ac:dyDescent="0.2">
      <c r="A855" s="119"/>
      <c r="B855" s="119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  <c r="AE855" s="119"/>
    </row>
    <row r="856" spans="1:31" ht="14.25" x14ac:dyDescent="0.2">
      <c r="A856" s="119"/>
      <c r="B856" s="119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  <c r="AE856" s="119"/>
    </row>
    <row r="857" spans="1:31" ht="14.25" x14ac:dyDescent="0.2">
      <c r="A857" s="119"/>
      <c r="B857" s="119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  <c r="AE857" s="119"/>
    </row>
    <row r="858" spans="1:31" ht="14.25" x14ac:dyDescent="0.2">
      <c r="A858" s="119"/>
      <c r="B858" s="119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  <c r="AE858" s="119"/>
    </row>
    <row r="859" spans="1:31" ht="14.25" x14ac:dyDescent="0.2">
      <c r="A859" s="119"/>
      <c r="B859" s="119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  <c r="AE859" s="119"/>
    </row>
    <row r="860" spans="1:31" ht="14.25" x14ac:dyDescent="0.2">
      <c r="A860" s="119"/>
      <c r="B860" s="119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  <c r="AE860" s="119"/>
    </row>
    <row r="861" spans="1:31" ht="14.25" x14ac:dyDescent="0.2">
      <c r="A861" s="119"/>
      <c r="B861" s="119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  <c r="AE861" s="119"/>
    </row>
    <row r="862" spans="1:31" ht="14.25" x14ac:dyDescent="0.2">
      <c r="A862" s="119"/>
      <c r="B862" s="119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  <c r="AE862" s="119"/>
    </row>
    <row r="863" spans="1:31" ht="14.25" x14ac:dyDescent="0.2">
      <c r="A863" s="119"/>
      <c r="B863" s="119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  <c r="AE863" s="119"/>
    </row>
    <row r="864" spans="1:31" ht="14.25" x14ac:dyDescent="0.2">
      <c r="A864" s="119"/>
      <c r="B864" s="119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  <c r="AE864" s="119"/>
    </row>
    <row r="865" spans="1:31" ht="14.25" x14ac:dyDescent="0.2">
      <c r="A865" s="119"/>
      <c r="B865" s="119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  <c r="AE865" s="119"/>
    </row>
    <row r="866" spans="1:31" ht="14.25" x14ac:dyDescent="0.2">
      <c r="A866" s="119"/>
      <c r="B866" s="119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  <c r="AE866" s="119"/>
    </row>
    <row r="867" spans="1:31" ht="14.25" x14ac:dyDescent="0.2">
      <c r="A867" s="119"/>
      <c r="B867" s="119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  <c r="AE867" s="119"/>
    </row>
    <row r="868" spans="1:31" ht="14.25" x14ac:dyDescent="0.2">
      <c r="A868" s="119"/>
      <c r="B868" s="119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  <c r="AE868" s="119"/>
    </row>
    <row r="869" spans="1:31" ht="14.25" x14ac:dyDescent="0.2">
      <c r="A869" s="119"/>
      <c r="B869" s="119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  <c r="AE869" s="119"/>
    </row>
    <row r="870" spans="1:31" ht="14.25" x14ac:dyDescent="0.2">
      <c r="A870" s="119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  <c r="AE870" s="119"/>
    </row>
    <row r="871" spans="1:31" ht="14.25" x14ac:dyDescent="0.2">
      <c r="A871" s="119"/>
      <c r="B871" s="119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  <c r="AE871" s="119"/>
    </row>
    <row r="872" spans="1:31" ht="14.25" x14ac:dyDescent="0.2">
      <c r="A872" s="119"/>
      <c r="B872" s="119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  <c r="AE872" s="119"/>
    </row>
    <row r="873" spans="1:31" ht="14.25" x14ac:dyDescent="0.2">
      <c r="A873" s="119"/>
      <c r="B873" s="119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  <c r="AE873" s="119"/>
    </row>
    <row r="874" spans="1:31" ht="14.25" x14ac:dyDescent="0.2">
      <c r="A874" s="119"/>
      <c r="B874" s="119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  <c r="AE874" s="119"/>
    </row>
    <row r="875" spans="1:31" ht="14.25" x14ac:dyDescent="0.2">
      <c r="A875" s="119"/>
      <c r="B875" s="119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  <c r="AE875" s="119"/>
    </row>
    <row r="876" spans="1:31" ht="14.25" x14ac:dyDescent="0.2">
      <c r="A876" s="119"/>
      <c r="B876" s="119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  <c r="AE876" s="119"/>
    </row>
    <row r="877" spans="1:31" ht="14.25" x14ac:dyDescent="0.2">
      <c r="A877" s="119"/>
      <c r="B877" s="119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  <c r="AE877" s="119"/>
    </row>
    <row r="878" spans="1:31" ht="14.25" x14ac:dyDescent="0.2">
      <c r="A878" s="119"/>
      <c r="B878" s="119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  <c r="AE878" s="119"/>
    </row>
    <row r="879" spans="1:31" ht="14.25" x14ac:dyDescent="0.2">
      <c r="A879" s="119"/>
      <c r="B879" s="119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  <c r="AE879" s="119"/>
    </row>
    <row r="880" spans="1:31" ht="14.25" x14ac:dyDescent="0.2">
      <c r="A880" s="119"/>
      <c r="B880" s="119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  <c r="AE880" s="119"/>
    </row>
    <row r="881" spans="1:31" ht="14.25" x14ac:dyDescent="0.2">
      <c r="A881" s="119"/>
      <c r="B881" s="119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  <c r="AE881" s="119"/>
    </row>
    <row r="882" spans="1:31" ht="14.25" x14ac:dyDescent="0.2">
      <c r="A882" s="119"/>
      <c r="B882" s="119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  <c r="AE882" s="119"/>
    </row>
    <row r="883" spans="1:31" ht="14.25" x14ac:dyDescent="0.2">
      <c r="A883" s="119"/>
      <c r="B883" s="119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  <c r="AE883" s="119"/>
    </row>
    <row r="884" spans="1:31" ht="14.25" x14ac:dyDescent="0.2">
      <c r="A884" s="119"/>
      <c r="B884" s="119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  <c r="AE884" s="119"/>
    </row>
    <row r="885" spans="1:31" ht="14.25" x14ac:dyDescent="0.2">
      <c r="A885" s="119"/>
      <c r="B885" s="119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  <c r="AE885" s="119"/>
    </row>
    <row r="886" spans="1:31" ht="14.25" x14ac:dyDescent="0.2">
      <c r="A886" s="119"/>
      <c r="B886" s="119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  <c r="AE886" s="119"/>
    </row>
    <row r="887" spans="1:31" ht="14.25" x14ac:dyDescent="0.2">
      <c r="A887" s="119"/>
      <c r="B887" s="119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  <c r="AE887" s="119"/>
    </row>
    <row r="888" spans="1:31" ht="14.25" x14ac:dyDescent="0.2">
      <c r="A888" s="119"/>
      <c r="B888" s="119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  <c r="AE888" s="119"/>
    </row>
    <row r="889" spans="1:31" ht="14.25" x14ac:dyDescent="0.2">
      <c r="A889" s="119"/>
      <c r="B889" s="119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  <c r="AE889" s="119"/>
    </row>
    <row r="890" spans="1:31" ht="14.25" x14ac:dyDescent="0.2">
      <c r="A890" s="119"/>
      <c r="B890" s="119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  <c r="AE890" s="119"/>
    </row>
    <row r="891" spans="1:31" ht="14.25" x14ac:dyDescent="0.2">
      <c r="A891" s="119"/>
      <c r="B891" s="119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  <c r="AE891" s="119"/>
    </row>
    <row r="892" spans="1:31" ht="14.25" x14ac:dyDescent="0.2">
      <c r="A892" s="119"/>
      <c r="B892" s="119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  <c r="AE892" s="119"/>
    </row>
    <row r="893" spans="1:31" ht="14.25" x14ac:dyDescent="0.2">
      <c r="A893" s="119"/>
      <c r="B893" s="119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  <c r="AE893" s="119"/>
    </row>
    <row r="894" spans="1:31" ht="14.25" x14ac:dyDescent="0.2">
      <c r="A894" s="119"/>
      <c r="B894" s="119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  <c r="AE894" s="119"/>
    </row>
    <row r="895" spans="1:31" ht="14.25" x14ac:dyDescent="0.2">
      <c r="A895" s="119"/>
      <c r="B895" s="119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  <c r="AE895" s="119"/>
    </row>
    <row r="896" spans="1:31" ht="14.25" x14ac:dyDescent="0.2">
      <c r="A896" s="119"/>
      <c r="B896" s="119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  <c r="AE896" s="119"/>
    </row>
    <row r="897" spans="1:31" ht="14.25" x14ac:dyDescent="0.2">
      <c r="A897" s="119"/>
      <c r="B897" s="119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  <c r="AE897" s="119"/>
    </row>
    <row r="898" spans="1:31" ht="14.25" x14ac:dyDescent="0.2">
      <c r="A898" s="119"/>
      <c r="B898" s="119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  <c r="AE898" s="119"/>
    </row>
    <row r="899" spans="1:31" ht="14.25" x14ac:dyDescent="0.2">
      <c r="A899" s="119"/>
      <c r="B899" s="119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  <c r="AE899" s="119"/>
    </row>
    <row r="900" spans="1:31" ht="14.25" x14ac:dyDescent="0.2">
      <c r="A900" s="119"/>
      <c r="B900" s="119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  <c r="AE900" s="119"/>
    </row>
    <row r="901" spans="1:31" ht="14.25" x14ac:dyDescent="0.2">
      <c r="A901" s="119"/>
      <c r="B901" s="119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  <c r="AE901" s="119"/>
    </row>
    <row r="902" spans="1:31" ht="14.25" x14ac:dyDescent="0.2">
      <c r="A902" s="119"/>
      <c r="B902" s="119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  <c r="AE902" s="119"/>
    </row>
    <row r="903" spans="1:31" ht="14.25" x14ac:dyDescent="0.2">
      <c r="A903" s="119"/>
      <c r="B903" s="119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  <c r="AE903" s="119"/>
    </row>
    <row r="904" spans="1:31" ht="14.25" x14ac:dyDescent="0.2">
      <c r="A904" s="119"/>
      <c r="B904" s="119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  <c r="AE904" s="119"/>
    </row>
    <row r="905" spans="1:31" ht="14.25" x14ac:dyDescent="0.2">
      <c r="A905" s="119"/>
      <c r="B905" s="119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  <c r="AE905" s="119"/>
    </row>
    <row r="906" spans="1:31" ht="14.25" x14ac:dyDescent="0.2">
      <c r="A906" s="119"/>
      <c r="B906" s="119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  <c r="AE906" s="119"/>
    </row>
    <row r="907" spans="1:31" ht="14.25" x14ac:dyDescent="0.2">
      <c r="A907" s="119"/>
      <c r="B907" s="119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  <c r="AE907" s="119"/>
    </row>
    <row r="908" spans="1:31" ht="14.25" x14ac:dyDescent="0.2">
      <c r="A908" s="119"/>
      <c r="B908" s="119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  <c r="AE908" s="119"/>
    </row>
    <row r="909" spans="1:31" ht="14.25" x14ac:dyDescent="0.2">
      <c r="A909" s="119"/>
      <c r="B909" s="119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  <c r="AE909" s="119"/>
    </row>
    <row r="910" spans="1:31" ht="14.25" x14ac:dyDescent="0.2">
      <c r="A910" s="119"/>
      <c r="B910" s="119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  <c r="AE910" s="119"/>
    </row>
    <row r="911" spans="1:31" ht="14.25" x14ac:dyDescent="0.2">
      <c r="A911" s="119"/>
      <c r="B911" s="119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  <c r="AE911" s="119"/>
    </row>
    <row r="912" spans="1:31" ht="14.25" x14ac:dyDescent="0.2">
      <c r="A912" s="119"/>
      <c r="B912" s="119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  <c r="AE912" s="119"/>
    </row>
    <row r="913" spans="1:31" ht="14.25" x14ac:dyDescent="0.2">
      <c r="A913" s="119"/>
      <c r="B913" s="119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  <c r="AE913" s="119"/>
    </row>
    <row r="914" spans="1:31" ht="14.25" x14ac:dyDescent="0.2">
      <c r="A914" s="119"/>
      <c r="B914" s="119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  <c r="AE914" s="119"/>
    </row>
    <row r="915" spans="1:31" ht="14.25" x14ac:dyDescent="0.2">
      <c r="A915" s="119"/>
      <c r="B915" s="119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  <c r="AE915" s="119"/>
    </row>
    <row r="916" spans="1:31" ht="14.25" x14ac:dyDescent="0.2">
      <c r="A916" s="119"/>
      <c r="B916" s="119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  <c r="AE916" s="119"/>
    </row>
    <row r="917" spans="1:31" ht="14.25" x14ac:dyDescent="0.2">
      <c r="A917" s="119"/>
      <c r="B917" s="119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  <c r="AE917" s="119"/>
    </row>
    <row r="918" spans="1:31" ht="14.25" x14ac:dyDescent="0.2">
      <c r="A918" s="119"/>
      <c r="B918" s="119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  <c r="AE918" s="119"/>
    </row>
    <row r="919" spans="1:31" ht="14.25" x14ac:dyDescent="0.2">
      <c r="A919" s="119"/>
      <c r="B919" s="119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  <c r="AE919" s="119"/>
    </row>
    <row r="920" spans="1:31" ht="14.25" x14ac:dyDescent="0.2">
      <c r="A920" s="119"/>
      <c r="B920" s="119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  <c r="AE920" s="119"/>
    </row>
    <row r="921" spans="1:31" ht="14.25" x14ac:dyDescent="0.2">
      <c r="A921" s="119"/>
      <c r="B921" s="119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  <c r="AE921" s="119"/>
    </row>
    <row r="922" spans="1:31" ht="14.25" x14ac:dyDescent="0.2">
      <c r="A922" s="119"/>
      <c r="B922" s="119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  <c r="AE922" s="119"/>
    </row>
    <row r="923" spans="1:31" ht="14.25" x14ac:dyDescent="0.2">
      <c r="A923" s="119"/>
      <c r="B923" s="119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  <c r="AE923" s="119"/>
    </row>
    <row r="924" spans="1:31" ht="14.25" x14ac:dyDescent="0.2">
      <c r="A924" s="119"/>
      <c r="B924" s="119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  <c r="AE924" s="119"/>
    </row>
    <row r="925" spans="1:31" ht="14.25" x14ac:dyDescent="0.2">
      <c r="A925" s="119"/>
      <c r="B925" s="119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  <c r="AE925" s="119"/>
    </row>
    <row r="926" spans="1:31" ht="14.25" x14ac:dyDescent="0.2">
      <c r="A926" s="119"/>
      <c r="B926" s="119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  <c r="AE926" s="119"/>
    </row>
    <row r="927" spans="1:31" ht="14.25" x14ac:dyDescent="0.2">
      <c r="A927" s="119"/>
      <c r="B927" s="119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  <c r="AE927" s="119"/>
    </row>
    <row r="928" spans="1:31" ht="14.25" x14ac:dyDescent="0.2">
      <c r="A928" s="119"/>
      <c r="B928" s="119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  <c r="AE928" s="119"/>
    </row>
    <row r="929" spans="1:31" ht="14.25" x14ac:dyDescent="0.2">
      <c r="A929" s="119"/>
      <c r="B929" s="119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  <c r="AE929" s="119"/>
    </row>
    <row r="930" spans="1:31" ht="14.25" x14ac:dyDescent="0.2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  <c r="AE930" s="119"/>
    </row>
    <row r="931" spans="1:31" ht="14.25" x14ac:dyDescent="0.2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  <c r="AE931" s="119"/>
    </row>
    <row r="932" spans="1:31" ht="14.25" x14ac:dyDescent="0.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  <c r="AE932" s="119"/>
    </row>
    <row r="933" spans="1:31" ht="14.25" x14ac:dyDescent="0.2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  <c r="AE933" s="119"/>
    </row>
    <row r="934" spans="1:31" ht="14.25" x14ac:dyDescent="0.2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  <c r="AE934" s="119"/>
    </row>
    <row r="935" spans="1:31" ht="14.25" x14ac:dyDescent="0.2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  <c r="AE935" s="119"/>
    </row>
    <row r="936" spans="1:31" ht="14.25" x14ac:dyDescent="0.2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  <c r="AE936" s="119"/>
    </row>
    <row r="937" spans="1:31" ht="14.25" x14ac:dyDescent="0.2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  <c r="AE937" s="119"/>
    </row>
    <row r="938" spans="1:31" ht="14.25" x14ac:dyDescent="0.2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  <c r="AE938" s="119"/>
    </row>
    <row r="939" spans="1:31" ht="14.25" x14ac:dyDescent="0.2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  <c r="AE939" s="119"/>
    </row>
    <row r="940" spans="1:31" ht="14.25" x14ac:dyDescent="0.2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  <c r="AE940" s="119"/>
    </row>
    <row r="941" spans="1:31" ht="14.25" x14ac:dyDescent="0.2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  <c r="AE941" s="119"/>
    </row>
    <row r="942" spans="1:31" ht="14.25" x14ac:dyDescent="0.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  <c r="AE942" s="119"/>
    </row>
    <row r="943" spans="1:31" ht="14.25" x14ac:dyDescent="0.2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  <c r="AE943" s="119"/>
    </row>
    <row r="944" spans="1:31" ht="14.25" x14ac:dyDescent="0.2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  <c r="AE944" s="119"/>
    </row>
    <row r="945" spans="1:31" ht="14.25" x14ac:dyDescent="0.2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  <c r="AE945" s="119"/>
    </row>
    <row r="946" spans="1:31" ht="14.25" x14ac:dyDescent="0.2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  <c r="AE946" s="119"/>
    </row>
    <row r="947" spans="1:31" ht="14.25" x14ac:dyDescent="0.2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  <c r="AE947" s="119"/>
    </row>
    <row r="948" spans="1:31" ht="14.25" x14ac:dyDescent="0.2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  <c r="AE948" s="119"/>
    </row>
    <row r="949" spans="1:31" ht="14.25" x14ac:dyDescent="0.2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  <c r="AE949" s="119"/>
    </row>
    <row r="950" spans="1:31" ht="14.25" x14ac:dyDescent="0.2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  <c r="AE950" s="119"/>
    </row>
    <row r="951" spans="1:31" ht="14.25" x14ac:dyDescent="0.2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  <c r="AE951" s="119"/>
    </row>
    <row r="952" spans="1:31" ht="14.25" x14ac:dyDescent="0.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  <c r="AE952" s="119"/>
    </row>
    <row r="953" spans="1:31" ht="14.25" x14ac:dyDescent="0.2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  <c r="AE953" s="119"/>
    </row>
    <row r="954" spans="1:31" ht="14.25" x14ac:dyDescent="0.2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  <c r="AE954" s="119"/>
    </row>
    <row r="955" spans="1:31" ht="14.25" x14ac:dyDescent="0.2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  <c r="AE955" s="119"/>
    </row>
    <row r="956" spans="1:31" ht="14.25" x14ac:dyDescent="0.2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  <c r="AE956" s="119"/>
    </row>
    <row r="957" spans="1:31" ht="14.25" x14ac:dyDescent="0.2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  <c r="AE957" s="119"/>
    </row>
    <row r="958" spans="1:31" ht="14.25" x14ac:dyDescent="0.2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  <c r="AE958" s="119"/>
    </row>
    <row r="959" spans="1:31" ht="14.25" x14ac:dyDescent="0.2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  <c r="AE959" s="119"/>
    </row>
    <row r="960" spans="1:31" ht="14.25" x14ac:dyDescent="0.2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  <c r="AE960" s="119"/>
    </row>
    <row r="961" spans="1:31" ht="14.25" x14ac:dyDescent="0.2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  <c r="AE961" s="119"/>
    </row>
    <row r="962" spans="1:31" ht="14.25" x14ac:dyDescent="0.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  <c r="AE962" s="119"/>
    </row>
    <row r="963" spans="1:31" ht="14.25" x14ac:dyDescent="0.2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  <c r="AE963" s="119"/>
    </row>
  </sheetData>
  <mergeCells count="3">
    <mergeCell ref="A23:D23"/>
    <mergeCell ref="C2:D2"/>
    <mergeCell ref="A1:D1"/>
  </mergeCells>
  <phoneticPr fontId="11" type="noConversion"/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xr:uid="{00000000-0002-0000-0000-000000000000}">
          <x14:formula1>
            <xm:f>DATA_Listes!$A$14:$A$17</xm:f>
          </x14:formula1>
          <xm:sqref>B20</xm:sqref>
        </x14:dataValidation>
        <x14:dataValidation type="list" allowBlank="1" xr:uid="{00000000-0002-0000-0000-000002000000}">
          <x14:formula1>
            <xm:f>DATA_Listes!$A$9:$A$11</xm:f>
          </x14:formula1>
          <xm:sqref>B14</xm:sqref>
        </x14:dataValidation>
        <x14:dataValidation type="list" allowBlank="1" xr:uid="{00000000-0002-0000-0000-000003000000}">
          <x14:formula1>
            <xm:f>DATA_Listes!$A$20:$A$23</xm:f>
          </x14:formula1>
          <xm:sqref>B17:B18</xm:sqref>
        </x14:dataValidation>
        <x14:dataValidation type="list" allowBlank="1" xr:uid="{00000000-0002-0000-0000-000004000000}">
          <x14:formula1>
            <xm:f>DATA_Listes!$A$3:$A$6</xm:f>
          </x14:formula1>
          <xm:sqref>B13</xm:sqref>
        </x14:dataValidation>
        <x14:dataValidation type="list" allowBlank="1" xr:uid="{00000000-0002-0000-0000-000005000000}">
          <x14:formula1>
            <xm:f>DATA_Listes!$A$73:$A$74</xm:f>
          </x14:formula1>
          <xm:sqref>B15</xm:sqref>
        </x14:dataValidation>
        <x14:dataValidation type="list" allowBlank="1" xr:uid="{00000000-0002-0000-0000-000006000000}">
          <x14:formula1>
            <xm:f>DATA_Listes!$A$26:$A$29</xm:f>
          </x14:formula1>
          <xm:sqref>B19</xm:sqref>
        </x14:dataValidation>
        <x14:dataValidation type="list" allowBlank="1" xr:uid="{00000000-0002-0000-0000-000007000000}">
          <x14:formula1>
            <xm:f>DATA_Listes!$A$87:$A$90</xm:f>
          </x14:formula1>
          <xm:sqref>B25:D28 B30:D33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W973"/>
  <sheetViews>
    <sheetView showGridLines="0" workbookViewId="0">
      <selection activeCell="E3" sqref="E3"/>
    </sheetView>
  </sheetViews>
  <sheetFormatPr baseColWidth="10" defaultColWidth="14.42578125" defaultRowHeight="12.75" x14ac:dyDescent="0.2"/>
  <cols>
    <col min="1" max="1" width="27.42578125" customWidth="1"/>
    <col min="2" max="2" width="75.140625" customWidth="1"/>
    <col min="3" max="3" width="35.28515625" customWidth="1"/>
    <col min="4" max="4" width="27.28515625" customWidth="1"/>
    <col min="5" max="5" width="28.7109375" customWidth="1"/>
    <col min="6" max="6" width="17" customWidth="1"/>
    <col min="7" max="7" width="7.28515625" customWidth="1"/>
    <col min="8" max="8" width="23.28515625" customWidth="1"/>
  </cols>
  <sheetData>
    <row r="1" spans="1:23" s="113" customFormat="1" ht="23.25" x14ac:dyDescent="0.2">
      <c r="A1" s="173" t="s">
        <v>437</v>
      </c>
      <c r="B1" s="174"/>
      <c r="C1" s="174"/>
      <c r="D1" s="174"/>
      <c r="E1" s="174"/>
      <c r="F1" s="175"/>
    </row>
    <row r="2" spans="1:23" ht="15" x14ac:dyDescent="0.25">
      <c r="A2" s="1" t="s">
        <v>80</v>
      </c>
      <c r="B2" s="1" t="s">
        <v>79</v>
      </c>
      <c r="C2" s="1" t="s">
        <v>81</v>
      </c>
      <c r="D2" s="1" t="s">
        <v>82</v>
      </c>
      <c r="E2" s="1" t="s">
        <v>83</v>
      </c>
      <c r="F2" s="1" t="s">
        <v>84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1:23" ht="128.25" x14ac:dyDescent="0.2">
      <c r="A3" s="139" t="s">
        <v>85</v>
      </c>
      <c r="B3" s="139" t="s">
        <v>86</v>
      </c>
      <c r="C3" s="139" t="s">
        <v>87</v>
      </c>
      <c r="D3" s="139" t="s">
        <v>88</v>
      </c>
      <c r="E3" s="139" t="s">
        <v>89</v>
      </c>
      <c r="F3" s="139" t="s">
        <v>90</v>
      </c>
      <c r="G3" s="7"/>
      <c r="H3" s="140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spans="1:23" ht="85.5" x14ac:dyDescent="0.2">
      <c r="A4" s="141" t="s">
        <v>91</v>
      </c>
      <c r="B4" s="142" t="s">
        <v>92</v>
      </c>
      <c r="C4" s="142" t="s">
        <v>93</v>
      </c>
      <c r="D4" s="141" t="s">
        <v>88</v>
      </c>
      <c r="E4" s="141" t="s">
        <v>94</v>
      </c>
      <c r="F4" s="141" t="s">
        <v>90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23" ht="99.75" x14ac:dyDescent="0.2">
      <c r="A5" s="139" t="s">
        <v>95</v>
      </c>
      <c r="B5" s="139" t="s">
        <v>96</v>
      </c>
      <c r="C5" s="139" t="s">
        <v>97</v>
      </c>
      <c r="D5" s="139" t="s">
        <v>98</v>
      </c>
      <c r="E5" s="139" t="s">
        <v>94</v>
      </c>
      <c r="F5" s="139" t="s">
        <v>103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spans="1:23" ht="71.25" x14ac:dyDescent="0.2">
      <c r="A6" s="141" t="s">
        <v>99</v>
      </c>
      <c r="B6" s="142" t="s">
        <v>100</v>
      </c>
      <c r="C6" s="142" t="s">
        <v>101</v>
      </c>
      <c r="D6" s="141" t="s">
        <v>88</v>
      </c>
      <c r="E6" s="141" t="s">
        <v>102</v>
      </c>
      <c r="F6" s="141" t="s">
        <v>103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spans="1:23" ht="57" x14ac:dyDescent="0.2">
      <c r="A7" s="139" t="s">
        <v>104</v>
      </c>
      <c r="B7" s="139" t="s">
        <v>105</v>
      </c>
      <c r="C7" s="139" t="s">
        <v>430</v>
      </c>
      <c r="D7" s="139" t="s">
        <v>98</v>
      </c>
      <c r="E7" s="139" t="s">
        <v>106</v>
      </c>
      <c r="F7" s="139" t="s">
        <v>90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spans="1:23" ht="28.5" x14ac:dyDescent="0.2">
      <c r="A8" s="141" t="s">
        <v>107</v>
      </c>
      <c r="B8" s="142"/>
      <c r="C8" s="142" t="s">
        <v>108</v>
      </c>
      <c r="D8" s="141" t="s">
        <v>98</v>
      </c>
      <c r="E8" s="141" t="s">
        <v>106</v>
      </c>
      <c r="F8" s="141" t="s">
        <v>103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spans="1:23" ht="15" x14ac:dyDescent="0.25">
      <c r="A9" s="1" t="s">
        <v>109</v>
      </c>
      <c r="B9" s="1" t="s">
        <v>79</v>
      </c>
      <c r="C9" s="1" t="s">
        <v>81</v>
      </c>
      <c r="D9" s="1" t="s">
        <v>82</v>
      </c>
      <c r="E9" s="1" t="s">
        <v>83</v>
      </c>
      <c r="F9" s="1" t="s">
        <v>84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spans="1:23" ht="28.5" x14ac:dyDescent="0.2">
      <c r="A10" s="139" t="s">
        <v>110</v>
      </c>
      <c r="B10" s="139" t="s">
        <v>111</v>
      </c>
      <c r="C10" s="139" t="s">
        <v>112</v>
      </c>
      <c r="D10" s="139" t="s">
        <v>113</v>
      </c>
      <c r="E10" s="139" t="s">
        <v>106</v>
      </c>
      <c r="F10" s="139" t="s">
        <v>103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3" ht="42.75" x14ac:dyDescent="0.2">
      <c r="A11" s="141" t="s">
        <v>114</v>
      </c>
      <c r="B11" s="142" t="s">
        <v>111</v>
      </c>
      <c r="C11" s="142" t="s">
        <v>115</v>
      </c>
      <c r="D11" s="141" t="s">
        <v>113</v>
      </c>
      <c r="E11" s="141" t="s">
        <v>102</v>
      </c>
      <c r="F11" s="141" t="s">
        <v>103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3" ht="42.75" x14ac:dyDescent="0.2">
      <c r="A12" s="139" t="s">
        <v>116</v>
      </c>
      <c r="B12" s="139" t="s">
        <v>111</v>
      </c>
      <c r="C12" s="139" t="s">
        <v>115</v>
      </c>
      <c r="D12" s="139" t="s">
        <v>113</v>
      </c>
      <c r="E12" s="139" t="s">
        <v>89</v>
      </c>
      <c r="F12" s="139" t="s">
        <v>103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spans="1:23" ht="28.5" x14ac:dyDescent="0.2">
      <c r="A13" s="141" t="s">
        <v>110</v>
      </c>
      <c r="B13" s="142" t="s">
        <v>438</v>
      </c>
      <c r="C13" s="142" t="s">
        <v>117</v>
      </c>
      <c r="D13" s="141" t="s">
        <v>98</v>
      </c>
      <c r="E13" s="141" t="s">
        <v>106</v>
      </c>
      <c r="F13" s="141" t="s">
        <v>103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28.5" x14ac:dyDescent="0.2">
      <c r="A14" s="139" t="s">
        <v>114</v>
      </c>
      <c r="B14" s="139" t="s">
        <v>438</v>
      </c>
      <c r="C14" s="139" t="s">
        <v>117</v>
      </c>
      <c r="D14" s="139" t="s">
        <v>98</v>
      </c>
      <c r="E14" s="139" t="s">
        <v>102</v>
      </c>
      <c r="F14" s="139" t="s">
        <v>90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spans="1:23" ht="28.5" x14ac:dyDescent="0.2">
      <c r="A15" s="141" t="s">
        <v>116</v>
      </c>
      <c r="B15" s="142" t="s">
        <v>438</v>
      </c>
      <c r="C15" s="142" t="s">
        <v>117</v>
      </c>
      <c r="D15" s="141" t="s">
        <v>98</v>
      </c>
      <c r="E15" s="141" t="s">
        <v>89</v>
      </c>
      <c r="F15" s="141" t="s">
        <v>90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2">
      <c r="A16" s="7"/>
      <c r="B16" s="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:23" x14ac:dyDescent="0.2">
      <c r="A17" s="7"/>
      <c r="B17" s="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:23" x14ac:dyDescent="0.2">
      <c r="A18" s="7"/>
      <c r="B18" s="7"/>
      <c r="C18" s="9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spans="1:23" x14ac:dyDescent="0.2"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x14ac:dyDescent="0.2">
      <c r="A20" s="7"/>
      <c r="B20" s="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x14ac:dyDescent="0.2">
      <c r="A21" s="10"/>
      <c r="B21" s="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x14ac:dyDescent="0.2">
      <c r="A22" s="10"/>
      <c r="B22" s="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x14ac:dyDescent="0.2">
      <c r="A23" s="7"/>
      <c r="B23" s="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x14ac:dyDescent="0.2">
      <c r="A24" s="7"/>
      <c r="B24" s="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x14ac:dyDescent="0.2">
      <c r="A25" s="7"/>
      <c r="B25" s="11"/>
      <c r="C25" s="12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x14ac:dyDescent="0.2">
      <c r="A26" s="7"/>
      <c r="B26" s="13"/>
      <c r="C26" s="8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1:23" x14ac:dyDescent="0.2">
      <c r="A27" s="7"/>
      <c r="B27" s="13"/>
      <c r="C27" s="8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spans="1:23" x14ac:dyDescent="0.2">
      <c r="A28" s="7"/>
      <c r="B28" s="13"/>
      <c r="C28" s="8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spans="1:23" x14ac:dyDescent="0.2">
      <c r="A29" s="7"/>
      <c r="B29" s="13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spans="1:23" x14ac:dyDescent="0.2">
      <c r="A30" s="7"/>
      <c r="B30" s="13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1:23" x14ac:dyDescent="0.2">
      <c r="A31" s="7"/>
      <c r="B31" s="13"/>
      <c r="C31" s="8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1:23" x14ac:dyDescent="0.2">
      <c r="A32" s="7"/>
      <c r="B32" s="7"/>
      <c r="C32" s="14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1:23" x14ac:dyDescent="0.2">
      <c r="A33" s="7"/>
      <c r="B33" s="11"/>
      <c r="C33" s="14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1:23" x14ac:dyDescent="0.2">
      <c r="A34" s="7"/>
      <c r="B34" s="13"/>
      <c r="C34" s="15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1:23" x14ac:dyDescent="0.2">
      <c r="A35" s="7"/>
      <c r="B35" s="13"/>
      <c r="C35" s="15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1:23" x14ac:dyDescent="0.2">
      <c r="A36" s="7"/>
      <c r="B36" s="13"/>
      <c r="C36" s="15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1:23" x14ac:dyDescent="0.2">
      <c r="A37" s="7"/>
      <c r="B37" s="13"/>
      <c r="C37" s="15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23" x14ac:dyDescent="0.2">
      <c r="A38" s="7"/>
      <c r="B38" s="13"/>
      <c r="C38" s="15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23" x14ac:dyDescent="0.2">
      <c r="A39" s="7"/>
      <c r="B39" s="10"/>
      <c r="C39" s="15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spans="1:23" x14ac:dyDescent="0.2">
      <c r="A40" s="7"/>
      <c r="B40" s="7"/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23" x14ac:dyDescent="0.2">
      <c r="A41" s="7"/>
      <c r="B41" s="7"/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23" x14ac:dyDescent="0.2">
      <c r="A42" s="7"/>
      <c r="B42" s="7"/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1:23" x14ac:dyDescent="0.2">
      <c r="A43" s="7"/>
      <c r="B43" s="7"/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1:23" x14ac:dyDescent="0.2">
      <c r="A44" s="7"/>
      <c r="B44" s="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1:23" x14ac:dyDescent="0.2">
      <c r="A45" s="7"/>
      <c r="B45" s="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1:23" x14ac:dyDescent="0.2">
      <c r="A46" s="7"/>
      <c r="B46" s="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23" x14ac:dyDescent="0.2">
      <c r="A47" s="7"/>
      <c r="B47" s="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1:23" x14ac:dyDescent="0.2">
      <c r="A48" s="7"/>
      <c r="B48" s="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1:23" x14ac:dyDescent="0.2">
      <c r="A49" s="7"/>
      <c r="B49" s="7"/>
      <c r="C49" s="9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1:23" x14ac:dyDescent="0.2">
      <c r="A50" s="7"/>
      <c r="B50" s="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1:23" x14ac:dyDescent="0.2">
      <c r="A51" s="7"/>
      <c r="B51" s="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1:23" x14ac:dyDescent="0.2">
      <c r="A52" s="7"/>
      <c r="B52" s="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1:23" x14ac:dyDescent="0.2">
      <c r="A53" s="7"/>
      <c r="B53" s="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1:23" x14ac:dyDescent="0.2">
      <c r="A54" s="7"/>
      <c r="B54" s="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23" x14ac:dyDescent="0.2">
      <c r="A55" s="7"/>
      <c r="B55" s="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1:23" x14ac:dyDescent="0.2">
      <c r="A56" s="7"/>
      <c r="B56" s="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x14ac:dyDescent="0.2">
      <c r="A57" s="7"/>
      <c r="B57" s="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x14ac:dyDescent="0.2">
      <c r="A58" s="7"/>
      <c r="B58" s="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x14ac:dyDescent="0.2">
      <c r="A59" s="7"/>
      <c r="B59" s="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x14ac:dyDescent="0.2">
      <c r="A60" s="7"/>
      <c r="B60" s="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x14ac:dyDescent="0.2">
      <c r="A61" s="7"/>
      <c r="B61" s="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x14ac:dyDescent="0.2">
      <c r="A62" s="7"/>
      <c r="B62" s="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x14ac:dyDescent="0.2">
      <c r="A63" s="7"/>
      <c r="B63" s="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x14ac:dyDescent="0.2">
      <c r="A64" s="7"/>
      <c r="B64" s="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x14ac:dyDescent="0.2">
      <c r="A65" s="7"/>
      <c r="B65" s="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x14ac:dyDescent="0.2">
      <c r="A66" s="7"/>
      <c r="B66" s="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x14ac:dyDescent="0.2">
      <c r="A67" s="7"/>
      <c r="B67" s="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x14ac:dyDescent="0.2">
      <c r="A68" s="7"/>
      <c r="B68" s="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x14ac:dyDescent="0.2">
      <c r="A69" s="7"/>
      <c r="B69" s="7"/>
      <c r="C69" s="9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x14ac:dyDescent="0.2">
      <c r="A70" s="7"/>
      <c r="B70" s="7"/>
      <c r="C70" s="9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x14ac:dyDescent="0.2">
      <c r="A71" s="7"/>
      <c r="B71" s="7"/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x14ac:dyDescent="0.2">
      <c r="A72" s="7"/>
      <c r="B72" s="7"/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x14ac:dyDescent="0.2">
      <c r="A73" s="7"/>
      <c r="B73" s="7"/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x14ac:dyDescent="0.2">
      <c r="A74" s="7"/>
      <c r="B74" s="7"/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x14ac:dyDescent="0.2">
      <c r="A75" s="7"/>
      <c r="B75" s="7"/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x14ac:dyDescent="0.2">
      <c r="A76" s="7"/>
      <c r="B76" s="7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x14ac:dyDescent="0.2">
      <c r="A77" s="7"/>
      <c r="B77" s="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x14ac:dyDescent="0.2">
      <c r="A78" s="7"/>
      <c r="B78" s="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x14ac:dyDescent="0.2">
      <c r="A79" s="7"/>
      <c r="B79" s="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x14ac:dyDescent="0.2">
      <c r="A80" s="7"/>
      <c r="B80" s="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x14ac:dyDescent="0.2">
      <c r="A81" s="7"/>
      <c r="B81" s="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x14ac:dyDescent="0.2">
      <c r="A82" s="7"/>
      <c r="B82" s="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x14ac:dyDescent="0.2">
      <c r="A83" s="7"/>
      <c r="B83" s="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x14ac:dyDescent="0.2">
      <c r="A84" s="7"/>
      <c r="B84" s="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x14ac:dyDescent="0.2">
      <c r="A85" s="7"/>
      <c r="B85" s="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x14ac:dyDescent="0.2">
      <c r="A86" s="7"/>
      <c r="B86" s="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x14ac:dyDescent="0.2">
      <c r="A87" s="7"/>
      <c r="B87" s="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x14ac:dyDescent="0.2">
      <c r="A88" s="7"/>
      <c r="B88" s="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x14ac:dyDescent="0.2">
      <c r="A89" s="7"/>
      <c r="B89" s="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x14ac:dyDescent="0.2">
      <c r="A90" s="7"/>
      <c r="B90" s="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x14ac:dyDescent="0.2">
      <c r="A91" s="7"/>
      <c r="B91" s="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x14ac:dyDescent="0.2">
      <c r="A92" s="7"/>
      <c r="B92" s="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x14ac:dyDescent="0.2">
      <c r="A93" s="7"/>
      <c r="B93" s="7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x14ac:dyDescent="0.2">
      <c r="A94" s="7"/>
      <c r="B94" s="7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x14ac:dyDescent="0.2">
      <c r="A95" s="7"/>
      <c r="B95" s="7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x14ac:dyDescent="0.2">
      <c r="A96" s="7"/>
      <c r="B96" s="7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x14ac:dyDescent="0.2">
      <c r="A97" s="7"/>
      <c r="B97" s="7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x14ac:dyDescent="0.2">
      <c r="A98" s="7"/>
      <c r="B98" s="7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x14ac:dyDescent="0.2">
      <c r="A99" s="7"/>
      <c r="B99" s="7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x14ac:dyDescent="0.2">
      <c r="A100" s="7"/>
      <c r="B100" s="7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x14ac:dyDescent="0.2">
      <c r="A101" s="7"/>
      <c r="B101" s="7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x14ac:dyDescent="0.2">
      <c r="A102" s="7"/>
      <c r="B102" s="7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x14ac:dyDescent="0.2">
      <c r="A103" s="7"/>
      <c r="B103" s="7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x14ac:dyDescent="0.2">
      <c r="A104" s="7"/>
      <c r="B104" s="7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x14ac:dyDescent="0.2">
      <c r="A105" s="7"/>
      <c r="B105" s="7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x14ac:dyDescent="0.2">
      <c r="A106" s="7"/>
      <c r="B106" s="7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x14ac:dyDescent="0.2">
      <c r="A107" s="7"/>
      <c r="B107" s="7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x14ac:dyDescent="0.2">
      <c r="A108" s="7"/>
      <c r="B108" s="7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x14ac:dyDescent="0.2">
      <c r="A109" s="7"/>
      <c r="B109" s="7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x14ac:dyDescent="0.2">
      <c r="A110" s="7"/>
      <c r="B110" s="7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x14ac:dyDescent="0.2">
      <c r="A111" s="7"/>
      <c r="B111" s="7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x14ac:dyDescent="0.2">
      <c r="A112" s="7"/>
      <c r="B112" s="7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1:23" x14ac:dyDescent="0.2">
      <c r="A113" s="7"/>
      <c r="B113" s="7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spans="1:23" x14ac:dyDescent="0.2">
      <c r="A114" s="7"/>
      <c r="B114" s="7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spans="1:23" x14ac:dyDescent="0.2">
      <c r="A115" s="7"/>
      <c r="B115" s="7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23" x14ac:dyDescent="0.2">
      <c r="A116" s="7"/>
      <c r="B116" s="7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23" x14ac:dyDescent="0.2">
      <c r="A117" s="7"/>
      <c r="B117" s="7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1:23" x14ac:dyDescent="0.2">
      <c r="A118" s="7"/>
      <c r="B118" s="7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spans="1:23" x14ac:dyDescent="0.2">
      <c r="A119" s="7"/>
      <c r="B119" s="7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1:23" x14ac:dyDescent="0.2">
      <c r="A120" s="7"/>
      <c r="B120" s="7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spans="1:23" x14ac:dyDescent="0.2">
      <c r="A121" s="7"/>
      <c r="B121" s="7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spans="1:23" x14ac:dyDescent="0.2">
      <c r="A122" s="7"/>
      <c r="B122" s="7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spans="1:23" x14ac:dyDescent="0.2">
      <c r="A123" s="7"/>
      <c r="B123" s="7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1:23" x14ac:dyDescent="0.2">
      <c r="A124" s="7"/>
      <c r="B124" s="7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spans="1:23" x14ac:dyDescent="0.2">
      <c r="A125" s="7"/>
      <c r="B125" s="7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spans="1:23" x14ac:dyDescent="0.2">
      <c r="A126" s="7"/>
      <c r="B126" s="7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spans="1:23" x14ac:dyDescent="0.2">
      <c r="A127" s="7"/>
      <c r="B127" s="7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spans="1:23" x14ac:dyDescent="0.2">
      <c r="A128" s="7"/>
      <c r="B128" s="7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x14ac:dyDescent="0.2">
      <c r="A129" s="7"/>
      <c r="B129" s="7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spans="1:23" x14ac:dyDescent="0.2">
      <c r="A130" s="7"/>
      <c r="B130" s="7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spans="1:23" x14ac:dyDescent="0.2">
      <c r="A131" s="7"/>
      <c r="B131" s="7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spans="1:23" x14ac:dyDescent="0.2">
      <c r="A132" s="7"/>
      <c r="B132" s="7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spans="1:23" x14ac:dyDescent="0.2">
      <c r="A133" s="7"/>
      <c r="B133" s="7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spans="1:23" x14ac:dyDescent="0.2">
      <c r="A134" s="7"/>
      <c r="B134" s="7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spans="1:23" x14ac:dyDescent="0.2">
      <c r="A135" s="7"/>
      <c r="B135" s="7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spans="1:23" x14ac:dyDescent="0.2">
      <c r="A136" s="7"/>
      <c r="B136" s="7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 spans="1:23" x14ac:dyDescent="0.2">
      <c r="A137" s="7"/>
      <c r="B137" s="7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 spans="1:23" x14ac:dyDescent="0.2">
      <c r="A138" s="7"/>
      <c r="B138" s="7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 spans="1:23" x14ac:dyDescent="0.2">
      <c r="A139" s="7"/>
      <c r="B139" s="7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 spans="1:23" x14ac:dyDescent="0.2">
      <c r="A140" s="7"/>
      <c r="B140" s="7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 spans="1:23" x14ac:dyDescent="0.2">
      <c r="A141" s="7"/>
      <c r="B141" s="7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 spans="1:23" x14ac:dyDescent="0.2">
      <c r="A142" s="7"/>
      <c r="B142" s="7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 spans="1:23" x14ac:dyDescent="0.2">
      <c r="A143" s="7"/>
      <c r="B143" s="7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 spans="1:23" x14ac:dyDescent="0.2">
      <c r="A144" s="7"/>
      <c r="B144" s="7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 spans="1:23" x14ac:dyDescent="0.2">
      <c r="A145" s="7"/>
      <c r="B145" s="7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 spans="1:23" x14ac:dyDescent="0.2">
      <c r="A146" s="7"/>
      <c r="B146" s="7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 spans="1:23" x14ac:dyDescent="0.2">
      <c r="A147" s="7"/>
      <c r="B147" s="7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 spans="1:23" x14ac:dyDescent="0.2">
      <c r="A148" s="7"/>
      <c r="B148" s="7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 spans="1:23" x14ac:dyDescent="0.2">
      <c r="A149" s="7"/>
      <c r="B149" s="7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 spans="1:23" x14ac:dyDescent="0.2">
      <c r="A150" s="7"/>
      <c r="B150" s="7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 spans="1:23" x14ac:dyDescent="0.2">
      <c r="A151" s="7"/>
      <c r="B151" s="7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 spans="1:23" x14ac:dyDescent="0.2">
      <c r="A152" s="7"/>
      <c r="B152" s="7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 spans="1:23" x14ac:dyDescent="0.2">
      <c r="A153" s="7"/>
      <c r="B153" s="7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 spans="1:23" x14ac:dyDescent="0.2">
      <c r="A154" s="7"/>
      <c r="B154" s="7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 spans="1:23" x14ac:dyDescent="0.2">
      <c r="A155" s="7"/>
      <c r="B155" s="7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 spans="1:23" x14ac:dyDescent="0.2">
      <c r="A156" s="7"/>
      <c r="B156" s="7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 spans="1:23" x14ac:dyDescent="0.2">
      <c r="A157" s="7"/>
      <c r="B157" s="7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 spans="1:23" x14ac:dyDescent="0.2">
      <c r="A158" s="7"/>
      <c r="B158" s="7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 spans="1:23" x14ac:dyDescent="0.2">
      <c r="A159" s="7"/>
      <c r="B159" s="7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 spans="1:23" x14ac:dyDescent="0.2">
      <c r="A160" s="7"/>
      <c r="B160" s="7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 spans="1:23" x14ac:dyDescent="0.2">
      <c r="A161" s="7"/>
      <c r="B161" s="7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 spans="1:23" x14ac:dyDescent="0.2">
      <c r="A162" s="7"/>
      <c r="B162" s="7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 spans="1:23" x14ac:dyDescent="0.2">
      <c r="A163" s="7"/>
      <c r="B163" s="7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 spans="1:23" x14ac:dyDescent="0.2">
      <c r="A164" s="7"/>
      <c r="B164" s="7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spans="1:23" x14ac:dyDescent="0.2">
      <c r="A165" s="7"/>
      <c r="B165" s="7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spans="1:23" x14ac:dyDescent="0.2">
      <c r="A166" s="7"/>
      <c r="B166" s="7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spans="1:23" x14ac:dyDescent="0.2">
      <c r="A167" s="7"/>
      <c r="B167" s="7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spans="1:23" x14ac:dyDescent="0.2">
      <c r="A168" s="7"/>
      <c r="B168" s="7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 spans="1:23" x14ac:dyDescent="0.2">
      <c r="A169" s="7"/>
      <c r="B169" s="7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 spans="1:23" x14ac:dyDescent="0.2">
      <c r="A170" s="7"/>
      <c r="B170" s="7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 spans="1:23" x14ac:dyDescent="0.2">
      <c r="A171" s="7"/>
      <c r="B171" s="7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spans="1:23" x14ac:dyDescent="0.2">
      <c r="A172" s="7"/>
      <c r="B172" s="7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 spans="1:23" x14ac:dyDescent="0.2">
      <c r="A173" s="7"/>
      <c r="B173" s="7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spans="1:23" x14ac:dyDescent="0.2">
      <c r="A174" s="7"/>
      <c r="B174" s="7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 spans="1:23" x14ac:dyDescent="0.2">
      <c r="A175" s="7"/>
      <c r="B175" s="7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 spans="1:23" x14ac:dyDescent="0.2">
      <c r="A176" s="7"/>
      <c r="B176" s="7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spans="1:23" x14ac:dyDescent="0.2">
      <c r="A177" s="7"/>
      <c r="B177" s="7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spans="1:23" x14ac:dyDescent="0.2">
      <c r="A178" s="7"/>
      <c r="B178" s="7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spans="1:23" x14ac:dyDescent="0.2">
      <c r="A179" s="7"/>
      <c r="B179" s="7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 spans="1:23" x14ac:dyDescent="0.2">
      <c r="A180" s="7"/>
      <c r="B180" s="7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x14ac:dyDescent="0.2">
      <c r="A181" s="7"/>
      <c r="B181" s="7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spans="1:23" x14ac:dyDescent="0.2">
      <c r="A182" s="7"/>
      <c r="B182" s="7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spans="1:23" x14ac:dyDescent="0.2">
      <c r="A183" s="7"/>
      <c r="B183" s="7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spans="1:23" x14ac:dyDescent="0.2">
      <c r="A184" s="7"/>
      <c r="B184" s="7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 spans="1:23" x14ac:dyDescent="0.2">
      <c r="A185" s="7"/>
      <c r="B185" s="7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spans="1:23" x14ac:dyDescent="0.2">
      <c r="A186" s="7"/>
      <c r="B186" s="7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spans="1:23" x14ac:dyDescent="0.2">
      <c r="A187" s="7"/>
      <c r="B187" s="7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spans="1:23" x14ac:dyDescent="0.2">
      <c r="A188" s="7"/>
      <c r="B188" s="7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spans="1:23" x14ac:dyDescent="0.2">
      <c r="A189" s="7"/>
      <c r="B189" s="7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spans="1:23" x14ac:dyDescent="0.2">
      <c r="A190" s="7"/>
      <c r="B190" s="7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 spans="1:23" x14ac:dyDescent="0.2">
      <c r="A191" s="7"/>
      <c r="B191" s="7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 spans="1:23" x14ac:dyDescent="0.2">
      <c r="A192" s="7"/>
      <c r="B192" s="7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 spans="1:23" x14ac:dyDescent="0.2">
      <c r="A193" s="7"/>
      <c r="B193" s="7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 spans="1:23" x14ac:dyDescent="0.2">
      <c r="A194" s="7"/>
      <c r="B194" s="7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 spans="1:23" x14ac:dyDescent="0.2">
      <c r="A195" s="7"/>
      <c r="B195" s="7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 spans="1:23" x14ac:dyDescent="0.2">
      <c r="A196" s="7"/>
      <c r="B196" s="7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 spans="1:23" x14ac:dyDescent="0.2">
      <c r="A197" s="7"/>
      <c r="B197" s="7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spans="1:23" x14ac:dyDescent="0.2">
      <c r="A198" s="7"/>
      <c r="B198" s="7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 spans="1:23" x14ac:dyDescent="0.2">
      <c r="A199" s="7"/>
      <c r="B199" s="7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 spans="1:23" x14ac:dyDescent="0.2">
      <c r="A200" s="7"/>
      <c r="B200" s="7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 spans="1:23" x14ac:dyDescent="0.2">
      <c r="A201" s="7"/>
      <c r="B201" s="7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 spans="1:23" x14ac:dyDescent="0.2">
      <c r="A202" s="7"/>
      <c r="B202" s="7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 spans="1:23" x14ac:dyDescent="0.2">
      <c r="A203" s="7"/>
      <c r="B203" s="7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 spans="1:23" x14ac:dyDescent="0.2">
      <c r="A204" s="7"/>
      <c r="B204" s="7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 spans="1:23" x14ac:dyDescent="0.2">
      <c r="A205" s="7"/>
      <c r="B205" s="7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 spans="1:23" x14ac:dyDescent="0.2">
      <c r="A206" s="7"/>
      <c r="B206" s="7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 spans="1:23" x14ac:dyDescent="0.2">
      <c r="A207" s="7"/>
      <c r="B207" s="7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spans="1:23" x14ac:dyDescent="0.2">
      <c r="A208" s="7"/>
      <c r="B208" s="7"/>
      <c r="C208" s="9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 spans="1:23" x14ac:dyDescent="0.2">
      <c r="A209" s="7"/>
      <c r="B209" s="7"/>
      <c r="C209" s="9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 spans="1:23" x14ac:dyDescent="0.2">
      <c r="A210" s="7"/>
      <c r="B210" s="7"/>
      <c r="C210" s="9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 spans="1:23" x14ac:dyDescent="0.2">
      <c r="A211" s="7"/>
      <c r="B211" s="7"/>
      <c r="C211" s="9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 spans="1:23" x14ac:dyDescent="0.2">
      <c r="A212" s="7"/>
      <c r="B212" s="7"/>
      <c r="C212" s="9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 spans="1:23" x14ac:dyDescent="0.2">
      <c r="A213" s="7"/>
      <c r="B213" s="7"/>
      <c r="C213" s="9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 spans="1:23" x14ac:dyDescent="0.2">
      <c r="A214" s="7"/>
      <c r="B214" s="7"/>
      <c r="C214" s="9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 spans="1:23" x14ac:dyDescent="0.2">
      <c r="A215" s="7"/>
      <c r="B215" s="7"/>
      <c r="C215" s="9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 spans="1:23" x14ac:dyDescent="0.2">
      <c r="A216" s="7"/>
      <c r="B216" s="7"/>
      <c r="C216" s="9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 spans="1:23" x14ac:dyDescent="0.2">
      <c r="A217" s="7"/>
      <c r="B217" s="7"/>
      <c r="C217" s="9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 spans="1:23" x14ac:dyDescent="0.2">
      <c r="A218" s="7"/>
      <c r="B218" s="7"/>
      <c r="C218" s="9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 spans="1:23" x14ac:dyDescent="0.2">
      <c r="A219" s="7"/>
      <c r="B219" s="7"/>
      <c r="C219" s="9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 spans="1:23" x14ac:dyDescent="0.2">
      <c r="A220" s="7"/>
      <c r="B220" s="7"/>
      <c r="C220" s="9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 spans="1:23" x14ac:dyDescent="0.2">
      <c r="A221" s="7"/>
      <c r="B221" s="7"/>
      <c r="C221" s="9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 spans="1:23" x14ac:dyDescent="0.2">
      <c r="A222" s="7"/>
      <c r="B222" s="7"/>
      <c r="C222" s="9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 spans="1:23" x14ac:dyDescent="0.2">
      <c r="A223" s="7"/>
      <c r="B223" s="7"/>
      <c r="C223" s="9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 spans="1:23" x14ac:dyDescent="0.2">
      <c r="A224" s="7"/>
      <c r="B224" s="7"/>
      <c r="C224" s="9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 spans="1:23" x14ac:dyDescent="0.2">
      <c r="A225" s="7"/>
      <c r="B225" s="7"/>
      <c r="C225" s="9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 spans="1:23" x14ac:dyDescent="0.2">
      <c r="A226" s="7"/>
      <c r="B226" s="7"/>
      <c r="C226" s="9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 spans="1:23" x14ac:dyDescent="0.2">
      <c r="A227" s="7"/>
      <c r="B227" s="7"/>
      <c r="C227" s="9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 spans="1:23" x14ac:dyDescent="0.2">
      <c r="A228" s="7"/>
      <c r="B228" s="7"/>
      <c r="C228" s="9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 spans="1:23" x14ac:dyDescent="0.2">
      <c r="A229" s="7"/>
      <c r="B229" s="7"/>
      <c r="C229" s="9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 spans="1:23" x14ac:dyDescent="0.2">
      <c r="A230" s="7"/>
      <c r="B230" s="7"/>
      <c r="C230" s="9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 spans="1:23" x14ac:dyDescent="0.2">
      <c r="A231" s="7"/>
      <c r="B231" s="7"/>
      <c r="C231" s="9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 spans="1:23" x14ac:dyDescent="0.2">
      <c r="A232" s="7"/>
      <c r="B232" s="7"/>
      <c r="C232" s="9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 spans="1:23" x14ac:dyDescent="0.2">
      <c r="A233" s="7"/>
      <c r="B233" s="7"/>
      <c r="C233" s="9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 spans="1:23" x14ac:dyDescent="0.2">
      <c r="A234" s="7"/>
      <c r="B234" s="7"/>
      <c r="C234" s="9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 spans="1:23" x14ac:dyDescent="0.2">
      <c r="A235" s="7"/>
      <c r="B235" s="7"/>
      <c r="C235" s="9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 spans="1:23" x14ac:dyDescent="0.2">
      <c r="A236" s="7"/>
      <c r="B236" s="7"/>
      <c r="C236" s="9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 spans="1:23" x14ac:dyDescent="0.2">
      <c r="A237" s="7"/>
      <c r="B237" s="7"/>
      <c r="C237" s="9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 spans="1:23" x14ac:dyDescent="0.2">
      <c r="A238" s="7"/>
      <c r="B238" s="7"/>
      <c r="C238" s="9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 spans="1:23" x14ac:dyDescent="0.2">
      <c r="A239" s="7"/>
      <c r="B239" s="7"/>
      <c r="C239" s="9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 spans="1:23" x14ac:dyDescent="0.2">
      <c r="A240" s="7"/>
      <c r="B240" s="7"/>
      <c r="C240" s="9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 spans="1:23" x14ac:dyDescent="0.2">
      <c r="A241" s="7"/>
      <c r="B241" s="7"/>
      <c r="C241" s="9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 spans="1:23" x14ac:dyDescent="0.2">
      <c r="A242" s="7"/>
      <c r="B242" s="7"/>
      <c r="C242" s="9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 spans="1:23" x14ac:dyDescent="0.2">
      <c r="A243" s="7"/>
      <c r="B243" s="7"/>
      <c r="C243" s="9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 spans="1:23" x14ac:dyDescent="0.2">
      <c r="A244" s="7"/>
      <c r="B244" s="7"/>
      <c r="C244" s="9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 spans="1:23" x14ac:dyDescent="0.2">
      <c r="A245" s="7"/>
      <c r="B245" s="7"/>
      <c r="C245" s="9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 spans="1:23" x14ac:dyDescent="0.2">
      <c r="A246" s="7"/>
      <c r="B246" s="7"/>
      <c r="C246" s="9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 spans="1:23" x14ac:dyDescent="0.2">
      <c r="A247" s="7"/>
      <c r="B247" s="7"/>
      <c r="C247" s="9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 spans="1:23" x14ac:dyDescent="0.2">
      <c r="A248" s="7"/>
      <c r="B248" s="7"/>
      <c r="C248" s="9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 spans="1:23" x14ac:dyDescent="0.2">
      <c r="A249" s="7"/>
      <c r="B249" s="7"/>
      <c r="C249" s="9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 spans="1:23" x14ac:dyDescent="0.2">
      <c r="A250" s="7"/>
      <c r="B250" s="7"/>
      <c r="C250" s="9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 spans="1:23" x14ac:dyDescent="0.2">
      <c r="A251" s="7"/>
      <c r="B251" s="7"/>
      <c r="C251" s="9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 spans="1:23" x14ac:dyDescent="0.2">
      <c r="A252" s="7"/>
      <c r="B252" s="7"/>
      <c r="C252" s="9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 spans="1:23" x14ac:dyDescent="0.2">
      <c r="A253" s="7"/>
      <c r="B253" s="7"/>
      <c r="C253" s="9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 spans="1:23" x14ac:dyDescent="0.2">
      <c r="A254" s="7"/>
      <c r="B254" s="7"/>
      <c r="C254" s="9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</row>
    <row r="255" spans="1:23" x14ac:dyDescent="0.2">
      <c r="A255" s="7"/>
      <c r="B255" s="7"/>
      <c r="C255" s="9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</row>
    <row r="256" spans="1:23" x14ac:dyDescent="0.2">
      <c r="A256" s="7"/>
      <c r="B256" s="7"/>
      <c r="C256" s="9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</row>
    <row r="257" spans="1:23" x14ac:dyDescent="0.2">
      <c r="A257" s="7"/>
      <c r="B257" s="7"/>
      <c r="C257" s="9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</row>
    <row r="258" spans="1:23" x14ac:dyDescent="0.2">
      <c r="A258" s="7"/>
      <c r="B258" s="7"/>
      <c r="C258" s="9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</row>
    <row r="259" spans="1:23" x14ac:dyDescent="0.2">
      <c r="A259" s="7"/>
      <c r="B259" s="7"/>
      <c r="C259" s="9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</row>
    <row r="260" spans="1:23" x14ac:dyDescent="0.2">
      <c r="A260" s="7"/>
      <c r="B260" s="7"/>
      <c r="C260" s="9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</row>
    <row r="261" spans="1:23" x14ac:dyDescent="0.2">
      <c r="A261" s="7"/>
      <c r="B261" s="7"/>
      <c r="C261" s="9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</row>
    <row r="262" spans="1:23" x14ac:dyDescent="0.2">
      <c r="A262" s="7"/>
      <c r="B262" s="7"/>
      <c r="C262" s="9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</row>
    <row r="263" spans="1:23" x14ac:dyDescent="0.2">
      <c r="A263" s="7"/>
      <c r="B263" s="7"/>
      <c r="C263" s="9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</row>
    <row r="264" spans="1:23" x14ac:dyDescent="0.2">
      <c r="A264" s="7"/>
      <c r="B264" s="7"/>
      <c r="C264" s="9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</row>
    <row r="265" spans="1:23" x14ac:dyDescent="0.2">
      <c r="A265" s="7"/>
      <c r="B265" s="7"/>
      <c r="C265" s="9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</row>
    <row r="266" spans="1:23" x14ac:dyDescent="0.2">
      <c r="A266" s="7"/>
      <c r="B266" s="7"/>
      <c r="C266" s="9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</row>
    <row r="267" spans="1:23" x14ac:dyDescent="0.2">
      <c r="A267" s="7"/>
      <c r="B267" s="7"/>
      <c r="C267" s="9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</row>
    <row r="268" spans="1:23" x14ac:dyDescent="0.2">
      <c r="A268" s="7"/>
      <c r="B268" s="7"/>
      <c r="C268" s="9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</row>
    <row r="269" spans="1:23" x14ac:dyDescent="0.2">
      <c r="A269" s="7"/>
      <c r="B269" s="7"/>
      <c r="C269" s="9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</row>
    <row r="270" spans="1:23" x14ac:dyDescent="0.2">
      <c r="A270" s="7"/>
      <c r="B270" s="7"/>
      <c r="C270" s="9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</row>
    <row r="271" spans="1:23" x14ac:dyDescent="0.2">
      <c r="A271" s="7"/>
      <c r="B271" s="7"/>
      <c r="C271" s="9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</row>
    <row r="272" spans="1:23" x14ac:dyDescent="0.2">
      <c r="A272" s="7"/>
      <c r="B272" s="7"/>
      <c r="C272" s="9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</row>
    <row r="273" spans="1:23" x14ac:dyDescent="0.2">
      <c r="A273" s="7"/>
      <c r="B273" s="7"/>
      <c r="C273" s="9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</row>
    <row r="274" spans="1:23" x14ac:dyDescent="0.2">
      <c r="A274" s="7"/>
      <c r="B274" s="7"/>
      <c r="C274" s="9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</row>
    <row r="275" spans="1:23" x14ac:dyDescent="0.2">
      <c r="A275" s="7"/>
      <c r="B275" s="7"/>
      <c r="C275" s="9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</row>
    <row r="276" spans="1:23" x14ac:dyDescent="0.2">
      <c r="A276" s="7"/>
      <c r="B276" s="7"/>
      <c r="C276" s="9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</row>
    <row r="277" spans="1:23" x14ac:dyDescent="0.2">
      <c r="A277" s="7"/>
      <c r="B277" s="7"/>
      <c r="C277" s="9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</row>
    <row r="278" spans="1:23" x14ac:dyDescent="0.2">
      <c r="A278" s="7"/>
      <c r="B278" s="7"/>
      <c r="C278" s="9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</row>
    <row r="279" spans="1:23" x14ac:dyDescent="0.2">
      <c r="A279" s="7"/>
      <c r="B279" s="7"/>
      <c r="C279" s="9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</row>
    <row r="280" spans="1:23" x14ac:dyDescent="0.2">
      <c r="A280" s="7"/>
      <c r="B280" s="7"/>
      <c r="C280" s="9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</row>
    <row r="281" spans="1:23" x14ac:dyDescent="0.2">
      <c r="A281" s="7"/>
      <c r="B281" s="7"/>
      <c r="C281" s="9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</row>
    <row r="282" spans="1:23" x14ac:dyDescent="0.2">
      <c r="A282" s="7"/>
      <c r="B282" s="7"/>
      <c r="C282" s="9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</row>
    <row r="283" spans="1:23" x14ac:dyDescent="0.2">
      <c r="A283" s="7"/>
      <c r="B283" s="7"/>
      <c r="C283" s="9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</row>
    <row r="284" spans="1:23" x14ac:dyDescent="0.2">
      <c r="A284" s="7"/>
      <c r="B284" s="7"/>
      <c r="C284" s="9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</row>
    <row r="285" spans="1:23" x14ac:dyDescent="0.2">
      <c r="A285" s="7"/>
      <c r="B285" s="7"/>
      <c r="C285" s="9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</row>
    <row r="286" spans="1:23" x14ac:dyDescent="0.2">
      <c r="A286" s="7"/>
      <c r="B286" s="7"/>
      <c r="C286" s="9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</row>
    <row r="287" spans="1:23" x14ac:dyDescent="0.2">
      <c r="A287" s="7"/>
      <c r="B287" s="7"/>
      <c r="C287" s="9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</row>
    <row r="288" spans="1:23" x14ac:dyDescent="0.2">
      <c r="A288" s="7"/>
      <c r="B288" s="7"/>
      <c r="C288" s="9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</row>
    <row r="289" spans="1:23" x14ac:dyDescent="0.2">
      <c r="A289" s="7"/>
      <c r="B289" s="7"/>
      <c r="C289" s="9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</row>
    <row r="290" spans="1:23" x14ac:dyDescent="0.2">
      <c r="A290" s="7"/>
      <c r="B290" s="7"/>
      <c r="C290" s="9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</row>
    <row r="291" spans="1:23" x14ac:dyDescent="0.2">
      <c r="A291" s="7"/>
      <c r="B291" s="7"/>
      <c r="C291" s="9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</row>
    <row r="292" spans="1:23" x14ac:dyDescent="0.2">
      <c r="A292" s="7"/>
      <c r="B292" s="7"/>
      <c r="C292" s="9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</row>
    <row r="293" spans="1:23" x14ac:dyDescent="0.2">
      <c r="A293" s="7"/>
      <c r="B293" s="7"/>
      <c r="C293" s="9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</row>
    <row r="294" spans="1:23" x14ac:dyDescent="0.2">
      <c r="A294" s="7"/>
      <c r="B294" s="7"/>
      <c r="C294" s="9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</row>
    <row r="295" spans="1:23" x14ac:dyDescent="0.2">
      <c r="A295" s="7"/>
      <c r="B295" s="7"/>
      <c r="C295" s="9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</row>
    <row r="296" spans="1:23" x14ac:dyDescent="0.2">
      <c r="A296" s="7"/>
      <c r="B296" s="7"/>
      <c r="C296" s="9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</row>
    <row r="297" spans="1:23" x14ac:dyDescent="0.2">
      <c r="A297" s="7"/>
      <c r="B297" s="7"/>
      <c r="C297" s="9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</row>
    <row r="298" spans="1:23" x14ac:dyDescent="0.2">
      <c r="A298" s="7"/>
      <c r="B298" s="7"/>
      <c r="C298" s="9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</row>
    <row r="299" spans="1:23" x14ac:dyDescent="0.2">
      <c r="A299" s="7"/>
      <c r="B299" s="7"/>
      <c r="C299" s="9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</row>
    <row r="300" spans="1:23" x14ac:dyDescent="0.2">
      <c r="A300" s="7"/>
      <c r="B300" s="7"/>
      <c r="C300" s="9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</row>
    <row r="301" spans="1:23" x14ac:dyDescent="0.2">
      <c r="A301" s="7"/>
      <c r="B301" s="7"/>
      <c r="C301" s="9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</row>
    <row r="302" spans="1:23" x14ac:dyDescent="0.2">
      <c r="A302" s="7"/>
      <c r="B302" s="7"/>
      <c r="C302" s="9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</row>
    <row r="303" spans="1:23" x14ac:dyDescent="0.2">
      <c r="A303" s="7"/>
      <c r="B303" s="7"/>
      <c r="C303" s="9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</row>
    <row r="304" spans="1:23" x14ac:dyDescent="0.2">
      <c r="A304" s="7"/>
      <c r="B304" s="7"/>
      <c r="C304" s="9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</row>
    <row r="305" spans="1:23" x14ac:dyDescent="0.2">
      <c r="A305" s="7"/>
      <c r="B305" s="7"/>
      <c r="C305" s="9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</row>
    <row r="306" spans="1:23" x14ac:dyDescent="0.2">
      <c r="A306" s="7"/>
      <c r="B306" s="7"/>
      <c r="C306" s="9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</row>
    <row r="307" spans="1:23" x14ac:dyDescent="0.2">
      <c r="A307" s="7"/>
      <c r="B307" s="7"/>
      <c r="C307" s="9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</row>
    <row r="308" spans="1:23" x14ac:dyDescent="0.2">
      <c r="A308" s="7"/>
      <c r="B308" s="7"/>
      <c r="C308" s="9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</row>
    <row r="309" spans="1:23" x14ac:dyDescent="0.2">
      <c r="A309" s="7"/>
      <c r="B309" s="7"/>
      <c r="C309" s="9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</row>
    <row r="310" spans="1:23" x14ac:dyDescent="0.2">
      <c r="A310" s="7"/>
      <c r="B310" s="7"/>
      <c r="C310" s="9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</row>
    <row r="311" spans="1:23" x14ac:dyDescent="0.2">
      <c r="A311" s="7"/>
      <c r="B311" s="7"/>
      <c r="C311" s="9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</row>
    <row r="312" spans="1:23" x14ac:dyDescent="0.2">
      <c r="A312" s="7"/>
      <c r="B312" s="7"/>
      <c r="C312" s="9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</row>
    <row r="313" spans="1:23" x14ac:dyDescent="0.2">
      <c r="A313" s="7"/>
      <c r="B313" s="7"/>
      <c r="C313" s="9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</row>
    <row r="314" spans="1:23" x14ac:dyDescent="0.2">
      <c r="A314" s="7"/>
      <c r="B314" s="7"/>
      <c r="C314" s="9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</row>
    <row r="315" spans="1:23" x14ac:dyDescent="0.2">
      <c r="A315" s="7"/>
      <c r="B315" s="7"/>
      <c r="C315" s="9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</row>
    <row r="316" spans="1:23" x14ac:dyDescent="0.2">
      <c r="A316" s="7"/>
      <c r="B316" s="7"/>
      <c r="C316" s="9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</row>
    <row r="317" spans="1:23" x14ac:dyDescent="0.2">
      <c r="A317" s="7"/>
      <c r="B317" s="7"/>
      <c r="C317" s="9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</row>
    <row r="318" spans="1:23" x14ac:dyDescent="0.2">
      <c r="A318" s="7"/>
      <c r="B318" s="7"/>
      <c r="C318" s="9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</row>
    <row r="319" spans="1:23" x14ac:dyDescent="0.2">
      <c r="A319" s="7"/>
      <c r="B319" s="7"/>
      <c r="C319" s="9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</row>
    <row r="320" spans="1:23" x14ac:dyDescent="0.2">
      <c r="A320" s="7"/>
      <c r="B320" s="7"/>
      <c r="C320" s="9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</row>
    <row r="321" spans="1:23" x14ac:dyDescent="0.2">
      <c r="A321" s="7"/>
      <c r="B321" s="7"/>
      <c r="C321" s="9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</row>
    <row r="322" spans="1:23" x14ac:dyDescent="0.2">
      <c r="A322" s="7"/>
      <c r="B322" s="7"/>
      <c r="C322" s="9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</row>
    <row r="323" spans="1:23" x14ac:dyDescent="0.2">
      <c r="A323" s="7"/>
      <c r="B323" s="7"/>
      <c r="C323" s="9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</row>
    <row r="324" spans="1:23" x14ac:dyDescent="0.2">
      <c r="A324" s="7"/>
      <c r="B324" s="7"/>
      <c r="C324" s="9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</row>
    <row r="325" spans="1:23" x14ac:dyDescent="0.2">
      <c r="A325" s="7"/>
      <c r="B325" s="7"/>
      <c r="C325" s="9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</row>
    <row r="326" spans="1:23" x14ac:dyDescent="0.2">
      <c r="A326" s="7"/>
      <c r="B326" s="7"/>
      <c r="C326" s="9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</row>
    <row r="327" spans="1:23" x14ac:dyDescent="0.2">
      <c r="A327" s="7"/>
      <c r="B327" s="7"/>
      <c r="C327" s="9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</row>
    <row r="328" spans="1:23" x14ac:dyDescent="0.2">
      <c r="A328" s="7"/>
      <c r="B328" s="7"/>
      <c r="C328" s="9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</row>
    <row r="329" spans="1:23" x14ac:dyDescent="0.2">
      <c r="A329" s="7"/>
      <c r="B329" s="7"/>
      <c r="C329" s="9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</row>
    <row r="330" spans="1:23" x14ac:dyDescent="0.2">
      <c r="A330" s="7"/>
      <c r="B330" s="7"/>
      <c r="C330" s="9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</row>
    <row r="331" spans="1:23" x14ac:dyDescent="0.2">
      <c r="A331" s="7"/>
      <c r="B331" s="7"/>
      <c r="C331" s="9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</row>
    <row r="332" spans="1:23" x14ac:dyDescent="0.2">
      <c r="A332" s="7"/>
      <c r="B332" s="7"/>
      <c r="C332" s="9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</row>
    <row r="333" spans="1:23" x14ac:dyDescent="0.2">
      <c r="A333" s="7"/>
      <c r="B333" s="7"/>
      <c r="C333" s="9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</row>
    <row r="334" spans="1:23" x14ac:dyDescent="0.2">
      <c r="A334" s="7"/>
      <c r="B334" s="7"/>
      <c r="C334" s="9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</row>
    <row r="335" spans="1:23" x14ac:dyDescent="0.2">
      <c r="A335" s="7"/>
      <c r="B335" s="7"/>
      <c r="C335" s="9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</row>
    <row r="336" spans="1:23" x14ac:dyDescent="0.2">
      <c r="A336" s="7"/>
      <c r="B336" s="7"/>
      <c r="C336" s="9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</row>
    <row r="337" spans="1:23" x14ac:dyDescent="0.2">
      <c r="A337" s="7"/>
      <c r="B337" s="7"/>
      <c r="C337" s="9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</row>
    <row r="338" spans="1:23" x14ac:dyDescent="0.2">
      <c r="A338" s="7"/>
      <c r="B338" s="7"/>
      <c r="C338" s="9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</row>
    <row r="339" spans="1:23" x14ac:dyDescent="0.2">
      <c r="A339" s="7"/>
      <c r="B339" s="7"/>
      <c r="C339" s="9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</row>
    <row r="340" spans="1:23" x14ac:dyDescent="0.2">
      <c r="A340" s="7"/>
      <c r="B340" s="7"/>
      <c r="C340" s="9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</row>
    <row r="341" spans="1:23" x14ac:dyDescent="0.2">
      <c r="A341" s="7"/>
      <c r="B341" s="7"/>
      <c r="C341" s="9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</row>
    <row r="342" spans="1:23" x14ac:dyDescent="0.2">
      <c r="A342" s="7"/>
      <c r="B342" s="7"/>
      <c r="C342" s="9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</row>
    <row r="343" spans="1:23" x14ac:dyDescent="0.2">
      <c r="A343" s="7"/>
      <c r="B343" s="7"/>
      <c r="C343" s="9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</row>
    <row r="344" spans="1:23" x14ac:dyDescent="0.2">
      <c r="A344" s="7"/>
      <c r="B344" s="7"/>
      <c r="C344" s="9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</row>
    <row r="345" spans="1:23" x14ac:dyDescent="0.2">
      <c r="A345" s="7"/>
      <c r="B345" s="7"/>
      <c r="C345" s="9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</row>
    <row r="346" spans="1:23" x14ac:dyDescent="0.2">
      <c r="A346" s="7"/>
      <c r="B346" s="7"/>
      <c r="C346" s="9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</row>
    <row r="347" spans="1:23" x14ac:dyDescent="0.2">
      <c r="A347" s="7"/>
      <c r="B347" s="7"/>
      <c r="C347" s="9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</row>
    <row r="348" spans="1:23" x14ac:dyDescent="0.2">
      <c r="A348" s="7"/>
      <c r="B348" s="7"/>
      <c r="C348" s="9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</row>
    <row r="349" spans="1:23" x14ac:dyDescent="0.2">
      <c r="A349" s="7"/>
      <c r="B349" s="7"/>
      <c r="C349" s="9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</row>
    <row r="350" spans="1:23" x14ac:dyDescent="0.2">
      <c r="A350" s="7"/>
      <c r="B350" s="7"/>
      <c r="C350" s="9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</row>
    <row r="351" spans="1:23" x14ac:dyDescent="0.2">
      <c r="A351" s="7"/>
      <c r="B351" s="7"/>
      <c r="C351" s="9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</row>
    <row r="352" spans="1:23" x14ac:dyDescent="0.2">
      <c r="A352" s="7"/>
      <c r="B352" s="7"/>
      <c r="C352" s="9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</row>
    <row r="353" spans="1:23" x14ac:dyDescent="0.2">
      <c r="A353" s="7"/>
      <c r="B353" s="7"/>
      <c r="C353" s="9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</row>
    <row r="354" spans="1:23" x14ac:dyDescent="0.2">
      <c r="A354" s="7"/>
      <c r="B354" s="7"/>
      <c r="C354" s="9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</row>
    <row r="355" spans="1:23" x14ac:dyDescent="0.2">
      <c r="A355" s="7"/>
      <c r="B355" s="7"/>
      <c r="C355" s="9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</row>
    <row r="356" spans="1:23" x14ac:dyDescent="0.2">
      <c r="A356" s="7"/>
      <c r="B356" s="7"/>
      <c r="C356" s="9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</row>
    <row r="357" spans="1:23" x14ac:dyDescent="0.2">
      <c r="A357" s="7"/>
      <c r="B357" s="7"/>
      <c r="C357" s="9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</row>
    <row r="358" spans="1:23" x14ac:dyDescent="0.2">
      <c r="A358" s="7"/>
      <c r="B358" s="7"/>
      <c r="C358" s="9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</row>
    <row r="359" spans="1:23" x14ac:dyDescent="0.2">
      <c r="A359" s="7"/>
      <c r="B359" s="7"/>
      <c r="C359" s="9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</row>
    <row r="360" spans="1:23" x14ac:dyDescent="0.2">
      <c r="A360" s="7"/>
      <c r="B360" s="7"/>
      <c r="C360" s="9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</row>
    <row r="361" spans="1:23" x14ac:dyDescent="0.2">
      <c r="A361" s="7"/>
      <c r="B361" s="7"/>
      <c r="C361" s="9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</row>
    <row r="362" spans="1:23" x14ac:dyDescent="0.2">
      <c r="A362" s="7"/>
      <c r="B362" s="7"/>
      <c r="C362" s="9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</row>
    <row r="363" spans="1:23" x14ac:dyDescent="0.2">
      <c r="A363" s="7"/>
      <c r="B363" s="7"/>
      <c r="C363" s="9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</row>
    <row r="364" spans="1:23" x14ac:dyDescent="0.2">
      <c r="A364" s="7"/>
      <c r="B364" s="7"/>
      <c r="C364" s="9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</row>
    <row r="365" spans="1:23" x14ac:dyDescent="0.2">
      <c r="A365" s="7"/>
      <c r="B365" s="7"/>
      <c r="C365" s="9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</row>
    <row r="366" spans="1:23" x14ac:dyDescent="0.2">
      <c r="A366" s="7"/>
      <c r="B366" s="7"/>
      <c r="C366" s="9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</row>
    <row r="367" spans="1:23" x14ac:dyDescent="0.2">
      <c r="A367" s="7"/>
      <c r="B367" s="7"/>
      <c r="C367" s="9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</row>
    <row r="368" spans="1:23" x14ac:dyDescent="0.2">
      <c r="A368" s="7"/>
      <c r="B368" s="7"/>
      <c r="C368" s="9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</row>
    <row r="369" spans="1:23" x14ac:dyDescent="0.2">
      <c r="A369" s="7"/>
      <c r="B369" s="7"/>
      <c r="C369" s="9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</row>
    <row r="370" spans="1:23" x14ac:dyDescent="0.2">
      <c r="A370" s="7"/>
      <c r="B370" s="7"/>
      <c r="C370" s="9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</row>
    <row r="371" spans="1:23" x14ac:dyDescent="0.2">
      <c r="A371" s="7"/>
      <c r="B371" s="7"/>
      <c r="C371" s="9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</row>
    <row r="372" spans="1:23" x14ac:dyDescent="0.2">
      <c r="A372" s="7"/>
      <c r="B372" s="7"/>
      <c r="C372" s="9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</row>
    <row r="373" spans="1:23" x14ac:dyDescent="0.2">
      <c r="A373" s="7"/>
      <c r="B373" s="7"/>
      <c r="C373" s="9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</row>
    <row r="374" spans="1:23" x14ac:dyDescent="0.2">
      <c r="A374" s="7"/>
      <c r="B374" s="7"/>
      <c r="C374" s="9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</row>
    <row r="375" spans="1:23" x14ac:dyDescent="0.2">
      <c r="A375" s="7"/>
      <c r="B375" s="7"/>
      <c r="C375" s="9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</row>
    <row r="376" spans="1:23" x14ac:dyDescent="0.2">
      <c r="A376" s="7"/>
      <c r="B376" s="7"/>
      <c r="C376" s="9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</row>
    <row r="377" spans="1:23" x14ac:dyDescent="0.2">
      <c r="A377" s="7"/>
      <c r="B377" s="7"/>
      <c r="C377" s="9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</row>
    <row r="378" spans="1:23" x14ac:dyDescent="0.2">
      <c r="A378" s="7"/>
      <c r="B378" s="7"/>
      <c r="C378" s="9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</row>
    <row r="379" spans="1:23" x14ac:dyDescent="0.2">
      <c r="A379" s="7"/>
      <c r="B379" s="7"/>
      <c r="C379" s="9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</row>
    <row r="380" spans="1:23" x14ac:dyDescent="0.2">
      <c r="A380" s="7"/>
      <c r="B380" s="7"/>
      <c r="C380" s="9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</row>
    <row r="381" spans="1:23" x14ac:dyDescent="0.2">
      <c r="A381" s="7"/>
      <c r="B381" s="7"/>
      <c r="C381" s="9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</row>
    <row r="382" spans="1:23" x14ac:dyDescent="0.2">
      <c r="A382" s="7"/>
      <c r="B382" s="7"/>
      <c r="C382" s="9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</row>
    <row r="383" spans="1:23" x14ac:dyDescent="0.2">
      <c r="A383" s="7"/>
      <c r="B383" s="7"/>
      <c r="C383" s="9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</row>
    <row r="384" spans="1:23" x14ac:dyDescent="0.2">
      <c r="A384" s="7"/>
      <c r="B384" s="7"/>
      <c r="C384" s="9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</row>
    <row r="385" spans="1:23" x14ac:dyDescent="0.2">
      <c r="A385" s="7"/>
      <c r="B385" s="7"/>
      <c r="C385" s="9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</row>
    <row r="386" spans="1:23" x14ac:dyDescent="0.2">
      <c r="A386" s="7"/>
      <c r="B386" s="7"/>
      <c r="C386" s="9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</row>
    <row r="387" spans="1:23" x14ac:dyDescent="0.2">
      <c r="A387" s="7"/>
      <c r="B387" s="7"/>
      <c r="C387" s="9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</row>
    <row r="388" spans="1:23" x14ac:dyDescent="0.2">
      <c r="A388" s="7"/>
      <c r="B388" s="7"/>
      <c r="C388" s="9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</row>
    <row r="389" spans="1:23" x14ac:dyDescent="0.2">
      <c r="A389" s="7"/>
      <c r="B389" s="7"/>
      <c r="C389" s="9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</row>
    <row r="390" spans="1:23" x14ac:dyDescent="0.2">
      <c r="A390" s="7"/>
      <c r="B390" s="7"/>
      <c r="C390" s="9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</row>
    <row r="391" spans="1:23" x14ac:dyDescent="0.2">
      <c r="A391" s="7"/>
      <c r="B391" s="7"/>
      <c r="C391" s="9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</row>
    <row r="392" spans="1:23" x14ac:dyDescent="0.2">
      <c r="A392" s="7"/>
      <c r="B392" s="7"/>
      <c r="C392" s="9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</row>
    <row r="393" spans="1:23" x14ac:dyDescent="0.2">
      <c r="A393" s="7"/>
      <c r="B393" s="7"/>
      <c r="C393" s="9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</row>
    <row r="394" spans="1:23" x14ac:dyDescent="0.2">
      <c r="A394" s="7"/>
      <c r="B394" s="7"/>
      <c r="C394" s="9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</row>
    <row r="395" spans="1:23" x14ac:dyDescent="0.2">
      <c r="A395" s="7"/>
      <c r="B395" s="7"/>
      <c r="C395" s="9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</row>
    <row r="396" spans="1:23" x14ac:dyDescent="0.2">
      <c r="A396" s="7"/>
      <c r="B396" s="7"/>
      <c r="C396" s="9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</row>
    <row r="397" spans="1:23" x14ac:dyDescent="0.2">
      <c r="A397" s="7"/>
      <c r="B397" s="7"/>
      <c r="C397" s="9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</row>
    <row r="398" spans="1:23" x14ac:dyDescent="0.2">
      <c r="A398" s="7"/>
      <c r="B398" s="7"/>
      <c r="C398" s="9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</row>
    <row r="399" spans="1:23" x14ac:dyDescent="0.2">
      <c r="A399" s="7"/>
      <c r="B399" s="7"/>
      <c r="C399" s="9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</row>
    <row r="400" spans="1:23" x14ac:dyDescent="0.2">
      <c r="A400" s="7"/>
      <c r="B400" s="7"/>
      <c r="C400" s="9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</row>
    <row r="401" spans="1:23" x14ac:dyDescent="0.2">
      <c r="A401" s="7"/>
      <c r="B401" s="7"/>
      <c r="C401" s="9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</row>
    <row r="402" spans="1:23" x14ac:dyDescent="0.2">
      <c r="A402" s="7"/>
      <c r="B402" s="7"/>
      <c r="C402" s="9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</row>
    <row r="403" spans="1:23" x14ac:dyDescent="0.2">
      <c r="A403" s="7"/>
      <c r="B403" s="7"/>
      <c r="C403" s="9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</row>
    <row r="404" spans="1:23" x14ac:dyDescent="0.2">
      <c r="A404" s="7"/>
      <c r="B404" s="7"/>
      <c r="C404" s="9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</row>
    <row r="405" spans="1:23" x14ac:dyDescent="0.2">
      <c r="A405" s="7"/>
      <c r="B405" s="7"/>
      <c r="C405" s="9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</row>
    <row r="406" spans="1:23" x14ac:dyDescent="0.2">
      <c r="A406" s="7"/>
      <c r="B406" s="7"/>
      <c r="C406" s="9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</row>
    <row r="407" spans="1:23" x14ac:dyDescent="0.2">
      <c r="A407" s="7"/>
      <c r="B407" s="7"/>
      <c r="C407" s="9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</row>
    <row r="408" spans="1:23" x14ac:dyDescent="0.2">
      <c r="A408" s="7"/>
      <c r="B408" s="7"/>
      <c r="C408" s="9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</row>
    <row r="409" spans="1:23" x14ac:dyDescent="0.2">
      <c r="A409" s="7"/>
      <c r="B409" s="7"/>
      <c r="C409" s="9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</row>
    <row r="410" spans="1:23" x14ac:dyDescent="0.2">
      <c r="A410" s="7"/>
      <c r="B410" s="7"/>
      <c r="C410" s="9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</row>
    <row r="411" spans="1:23" x14ac:dyDescent="0.2">
      <c r="A411" s="7"/>
      <c r="B411" s="7"/>
      <c r="C411" s="9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</row>
    <row r="412" spans="1:23" x14ac:dyDescent="0.2">
      <c r="A412" s="7"/>
      <c r="B412" s="7"/>
      <c r="C412" s="9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</row>
    <row r="413" spans="1:23" x14ac:dyDescent="0.2">
      <c r="A413" s="7"/>
      <c r="B413" s="7"/>
      <c r="C413" s="9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</row>
    <row r="414" spans="1:23" x14ac:dyDescent="0.2">
      <c r="A414" s="7"/>
      <c r="B414" s="7"/>
      <c r="C414" s="9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</row>
    <row r="415" spans="1:23" x14ac:dyDescent="0.2">
      <c r="A415" s="7"/>
      <c r="B415" s="7"/>
      <c r="C415" s="9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</row>
    <row r="416" spans="1:23" x14ac:dyDescent="0.2">
      <c r="A416" s="7"/>
      <c r="B416" s="7"/>
      <c r="C416" s="9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</row>
    <row r="417" spans="1:23" x14ac:dyDescent="0.2">
      <c r="A417" s="7"/>
      <c r="B417" s="7"/>
      <c r="C417" s="9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</row>
    <row r="418" spans="1:23" x14ac:dyDescent="0.2">
      <c r="A418" s="7"/>
      <c r="B418" s="7"/>
      <c r="C418" s="9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</row>
    <row r="419" spans="1:23" x14ac:dyDescent="0.2">
      <c r="A419" s="7"/>
      <c r="B419" s="7"/>
      <c r="C419" s="9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</row>
    <row r="420" spans="1:23" x14ac:dyDescent="0.2">
      <c r="A420" s="7"/>
      <c r="B420" s="7"/>
      <c r="C420" s="9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</row>
    <row r="421" spans="1:23" x14ac:dyDescent="0.2">
      <c r="A421" s="7"/>
      <c r="B421" s="7"/>
      <c r="C421" s="9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</row>
    <row r="422" spans="1:23" x14ac:dyDescent="0.2">
      <c r="A422" s="7"/>
      <c r="B422" s="7"/>
      <c r="C422" s="9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</row>
    <row r="423" spans="1:23" x14ac:dyDescent="0.2">
      <c r="A423" s="7"/>
      <c r="B423" s="7"/>
      <c r="C423" s="9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</row>
    <row r="424" spans="1:23" x14ac:dyDescent="0.2">
      <c r="A424" s="7"/>
      <c r="B424" s="7"/>
      <c r="C424" s="9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</row>
    <row r="425" spans="1:23" x14ac:dyDescent="0.2">
      <c r="A425" s="7"/>
      <c r="B425" s="7"/>
      <c r="C425" s="9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</row>
    <row r="426" spans="1:23" x14ac:dyDescent="0.2">
      <c r="A426" s="7"/>
      <c r="B426" s="7"/>
      <c r="C426" s="9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</row>
    <row r="427" spans="1:23" x14ac:dyDescent="0.2">
      <c r="A427" s="7"/>
      <c r="B427" s="7"/>
      <c r="C427" s="9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</row>
    <row r="428" spans="1:23" x14ac:dyDescent="0.2">
      <c r="A428" s="7"/>
      <c r="B428" s="7"/>
      <c r="C428" s="9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</row>
    <row r="429" spans="1:23" x14ac:dyDescent="0.2">
      <c r="A429" s="7"/>
      <c r="B429" s="7"/>
      <c r="C429" s="9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</row>
    <row r="430" spans="1:23" x14ac:dyDescent="0.2">
      <c r="A430" s="7"/>
      <c r="B430" s="7"/>
      <c r="C430" s="9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</row>
    <row r="431" spans="1:23" x14ac:dyDescent="0.2">
      <c r="A431" s="7"/>
      <c r="B431" s="7"/>
      <c r="C431" s="9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</row>
    <row r="432" spans="1:23" x14ac:dyDescent="0.2">
      <c r="A432" s="7"/>
      <c r="B432" s="7"/>
      <c r="C432" s="9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</row>
    <row r="433" spans="1:23" x14ac:dyDescent="0.2">
      <c r="A433" s="7"/>
      <c r="B433" s="7"/>
      <c r="C433" s="9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</row>
    <row r="434" spans="1:23" x14ac:dyDescent="0.2">
      <c r="A434" s="7"/>
      <c r="B434" s="7"/>
      <c r="C434" s="9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</row>
    <row r="435" spans="1:23" x14ac:dyDescent="0.2">
      <c r="A435" s="7"/>
      <c r="B435" s="7"/>
      <c r="C435" s="9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</row>
    <row r="436" spans="1:23" x14ac:dyDescent="0.2">
      <c r="A436" s="7"/>
      <c r="B436" s="7"/>
      <c r="C436" s="9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</row>
    <row r="437" spans="1:23" x14ac:dyDescent="0.2">
      <c r="A437" s="7"/>
      <c r="B437" s="7"/>
      <c r="C437" s="9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</row>
    <row r="438" spans="1:23" x14ac:dyDescent="0.2">
      <c r="A438" s="7"/>
      <c r="B438" s="7"/>
      <c r="C438" s="9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</row>
    <row r="439" spans="1:23" x14ac:dyDescent="0.2">
      <c r="A439" s="7"/>
      <c r="B439" s="7"/>
      <c r="C439" s="9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</row>
    <row r="440" spans="1:23" x14ac:dyDescent="0.2">
      <c r="A440" s="7"/>
      <c r="B440" s="7"/>
      <c r="C440" s="9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</row>
    <row r="441" spans="1:23" x14ac:dyDescent="0.2">
      <c r="A441" s="7"/>
      <c r="B441" s="7"/>
      <c r="C441" s="9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</row>
    <row r="442" spans="1:23" x14ac:dyDescent="0.2">
      <c r="A442" s="7"/>
      <c r="B442" s="7"/>
      <c r="C442" s="9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</row>
    <row r="443" spans="1:23" x14ac:dyDescent="0.2">
      <c r="A443" s="7"/>
      <c r="B443" s="7"/>
      <c r="C443" s="9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</row>
    <row r="444" spans="1:23" x14ac:dyDescent="0.2">
      <c r="A444" s="7"/>
      <c r="B444" s="7"/>
      <c r="C444" s="9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</row>
    <row r="445" spans="1:23" x14ac:dyDescent="0.2">
      <c r="A445" s="7"/>
      <c r="B445" s="7"/>
      <c r="C445" s="9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</row>
    <row r="446" spans="1:23" x14ac:dyDescent="0.2">
      <c r="A446" s="7"/>
      <c r="B446" s="7"/>
      <c r="C446" s="9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</row>
    <row r="447" spans="1:23" x14ac:dyDescent="0.2">
      <c r="A447" s="7"/>
      <c r="B447" s="7"/>
      <c r="C447" s="9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</row>
    <row r="448" spans="1:23" x14ac:dyDescent="0.2">
      <c r="A448" s="7"/>
      <c r="B448" s="7"/>
      <c r="C448" s="9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</row>
    <row r="449" spans="1:23" x14ac:dyDescent="0.2">
      <c r="A449" s="7"/>
      <c r="B449" s="7"/>
      <c r="C449" s="9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</row>
    <row r="450" spans="1:23" x14ac:dyDescent="0.2">
      <c r="A450" s="7"/>
      <c r="B450" s="7"/>
      <c r="C450" s="9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</row>
    <row r="451" spans="1:23" x14ac:dyDescent="0.2">
      <c r="A451" s="7"/>
      <c r="B451" s="7"/>
      <c r="C451" s="9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</row>
    <row r="452" spans="1:23" x14ac:dyDescent="0.2">
      <c r="A452" s="7"/>
      <c r="B452" s="7"/>
      <c r="C452" s="9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</row>
    <row r="453" spans="1:23" x14ac:dyDescent="0.2">
      <c r="A453" s="7"/>
      <c r="B453" s="7"/>
      <c r="C453" s="9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</row>
    <row r="454" spans="1:23" x14ac:dyDescent="0.2">
      <c r="A454" s="7"/>
      <c r="B454" s="7"/>
      <c r="C454" s="9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</row>
    <row r="455" spans="1:23" x14ac:dyDescent="0.2">
      <c r="A455" s="7"/>
      <c r="B455" s="7"/>
      <c r="C455" s="9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</row>
    <row r="456" spans="1:23" x14ac:dyDescent="0.2">
      <c r="A456" s="7"/>
      <c r="B456" s="7"/>
      <c r="C456" s="9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</row>
    <row r="457" spans="1:23" x14ac:dyDescent="0.2">
      <c r="A457" s="7"/>
      <c r="B457" s="7"/>
      <c r="C457" s="9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</row>
    <row r="458" spans="1:23" x14ac:dyDescent="0.2">
      <c r="A458" s="7"/>
      <c r="B458" s="7"/>
      <c r="C458" s="9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</row>
    <row r="459" spans="1:23" x14ac:dyDescent="0.2">
      <c r="A459" s="7"/>
      <c r="B459" s="7"/>
      <c r="C459" s="9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</row>
    <row r="460" spans="1:23" x14ac:dyDescent="0.2">
      <c r="A460" s="7"/>
      <c r="B460" s="7"/>
      <c r="C460" s="9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</row>
    <row r="461" spans="1:23" x14ac:dyDescent="0.2">
      <c r="A461" s="7"/>
      <c r="B461" s="7"/>
      <c r="C461" s="9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</row>
    <row r="462" spans="1:23" x14ac:dyDescent="0.2">
      <c r="A462" s="7"/>
      <c r="B462" s="7"/>
      <c r="C462" s="9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</row>
    <row r="463" spans="1:23" x14ac:dyDescent="0.2">
      <c r="A463" s="7"/>
      <c r="B463" s="7"/>
      <c r="C463" s="9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</row>
    <row r="464" spans="1:23" x14ac:dyDescent="0.2">
      <c r="A464" s="7"/>
      <c r="B464" s="7"/>
      <c r="C464" s="9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</row>
    <row r="465" spans="1:23" x14ac:dyDescent="0.2">
      <c r="A465" s="7"/>
      <c r="B465" s="7"/>
      <c r="C465" s="9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</row>
    <row r="466" spans="1:23" x14ac:dyDescent="0.2">
      <c r="A466" s="7"/>
      <c r="B466" s="7"/>
      <c r="C466" s="9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</row>
    <row r="467" spans="1:23" x14ac:dyDescent="0.2">
      <c r="A467" s="7"/>
      <c r="B467" s="7"/>
      <c r="C467" s="9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</row>
    <row r="468" spans="1:23" x14ac:dyDescent="0.2">
      <c r="A468" s="7"/>
      <c r="B468" s="7"/>
      <c r="C468" s="9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</row>
    <row r="469" spans="1:23" x14ac:dyDescent="0.2">
      <c r="A469" s="7"/>
      <c r="B469" s="7"/>
      <c r="C469" s="9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</row>
    <row r="470" spans="1:23" x14ac:dyDescent="0.2">
      <c r="A470" s="7"/>
      <c r="B470" s="7"/>
      <c r="C470" s="9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</row>
    <row r="471" spans="1:23" x14ac:dyDescent="0.2">
      <c r="A471" s="7"/>
      <c r="B471" s="7"/>
      <c r="C471" s="9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</row>
    <row r="472" spans="1:23" x14ac:dyDescent="0.2">
      <c r="A472" s="7"/>
      <c r="B472" s="7"/>
      <c r="C472" s="9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</row>
    <row r="473" spans="1:23" x14ac:dyDescent="0.2">
      <c r="A473" s="7"/>
      <c r="B473" s="7"/>
      <c r="C473" s="9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</row>
    <row r="474" spans="1:23" x14ac:dyDescent="0.2">
      <c r="A474" s="7"/>
      <c r="B474" s="7"/>
      <c r="C474" s="9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</row>
    <row r="475" spans="1:23" x14ac:dyDescent="0.2">
      <c r="A475" s="7"/>
      <c r="B475" s="7"/>
      <c r="C475" s="9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</row>
    <row r="476" spans="1:23" x14ac:dyDescent="0.2">
      <c r="A476" s="7"/>
      <c r="B476" s="7"/>
      <c r="C476" s="9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</row>
    <row r="477" spans="1:23" x14ac:dyDescent="0.2">
      <c r="A477" s="7"/>
      <c r="B477" s="7"/>
      <c r="C477" s="9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</row>
    <row r="478" spans="1:23" x14ac:dyDescent="0.2">
      <c r="A478" s="7"/>
      <c r="B478" s="7"/>
      <c r="C478" s="9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</row>
    <row r="479" spans="1:23" x14ac:dyDescent="0.2">
      <c r="A479" s="7"/>
      <c r="B479" s="7"/>
      <c r="C479" s="9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</row>
    <row r="480" spans="1:23" x14ac:dyDescent="0.2">
      <c r="A480" s="7"/>
      <c r="B480" s="7"/>
      <c r="C480" s="9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</row>
    <row r="481" spans="1:23" x14ac:dyDescent="0.2">
      <c r="A481" s="7"/>
      <c r="B481" s="7"/>
      <c r="C481" s="9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</row>
    <row r="482" spans="1:23" x14ac:dyDescent="0.2">
      <c r="A482" s="7"/>
      <c r="B482" s="7"/>
      <c r="C482" s="9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</row>
    <row r="483" spans="1:23" x14ac:dyDescent="0.2">
      <c r="A483" s="7"/>
      <c r="B483" s="7"/>
      <c r="C483" s="9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</row>
    <row r="484" spans="1:23" x14ac:dyDescent="0.2">
      <c r="A484" s="7"/>
      <c r="B484" s="7"/>
      <c r="C484" s="9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</row>
    <row r="485" spans="1:23" x14ac:dyDescent="0.2">
      <c r="A485" s="7"/>
      <c r="B485" s="7"/>
      <c r="C485" s="9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</row>
    <row r="486" spans="1:23" x14ac:dyDescent="0.2">
      <c r="A486" s="7"/>
      <c r="B486" s="7"/>
      <c r="C486" s="9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</row>
    <row r="487" spans="1:23" x14ac:dyDescent="0.2">
      <c r="A487" s="7"/>
      <c r="B487" s="7"/>
      <c r="C487" s="9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</row>
    <row r="488" spans="1:23" x14ac:dyDescent="0.2">
      <c r="A488" s="7"/>
      <c r="B488" s="7"/>
      <c r="C488" s="9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</row>
    <row r="489" spans="1:23" x14ac:dyDescent="0.2">
      <c r="A489" s="7"/>
      <c r="B489" s="7"/>
      <c r="C489" s="9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</row>
    <row r="490" spans="1:23" x14ac:dyDescent="0.2">
      <c r="A490" s="7"/>
      <c r="B490" s="7"/>
      <c r="C490" s="9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</row>
    <row r="491" spans="1:23" x14ac:dyDescent="0.2">
      <c r="A491" s="7"/>
      <c r="B491" s="7"/>
      <c r="C491" s="9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</row>
    <row r="492" spans="1:23" x14ac:dyDescent="0.2">
      <c r="A492" s="7"/>
      <c r="B492" s="7"/>
      <c r="C492" s="9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</row>
    <row r="493" spans="1:23" x14ac:dyDescent="0.2">
      <c r="A493" s="7"/>
      <c r="B493" s="7"/>
      <c r="C493" s="9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</row>
    <row r="494" spans="1:23" x14ac:dyDescent="0.2">
      <c r="A494" s="7"/>
      <c r="B494" s="7"/>
      <c r="C494" s="9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</row>
    <row r="495" spans="1:23" x14ac:dyDescent="0.2">
      <c r="A495" s="7"/>
      <c r="B495" s="7"/>
      <c r="C495" s="9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</row>
    <row r="496" spans="1:23" x14ac:dyDescent="0.2">
      <c r="A496" s="7"/>
      <c r="B496" s="7"/>
      <c r="C496" s="9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</row>
    <row r="497" spans="1:23" x14ac:dyDescent="0.2">
      <c r="A497" s="7"/>
      <c r="B497" s="7"/>
      <c r="C497" s="9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</row>
    <row r="498" spans="1:23" x14ac:dyDescent="0.2">
      <c r="A498" s="7"/>
      <c r="B498" s="7"/>
      <c r="C498" s="9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</row>
    <row r="499" spans="1:23" x14ac:dyDescent="0.2">
      <c r="A499" s="7"/>
      <c r="B499" s="7"/>
      <c r="C499" s="9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</row>
    <row r="500" spans="1:23" x14ac:dyDescent="0.2">
      <c r="A500" s="7"/>
      <c r="B500" s="7"/>
      <c r="C500" s="9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</row>
    <row r="501" spans="1:23" x14ac:dyDescent="0.2">
      <c r="A501" s="7"/>
      <c r="B501" s="7"/>
      <c r="C501" s="9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</row>
    <row r="502" spans="1:23" x14ac:dyDescent="0.2">
      <c r="A502" s="7"/>
      <c r="B502" s="7"/>
      <c r="C502" s="9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</row>
    <row r="503" spans="1:23" x14ac:dyDescent="0.2">
      <c r="A503" s="7"/>
      <c r="B503" s="7"/>
      <c r="C503" s="9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</row>
    <row r="504" spans="1:23" x14ac:dyDescent="0.2">
      <c r="A504" s="7"/>
      <c r="B504" s="7"/>
      <c r="C504" s="9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</row>
    <row r="505" spans="1:23" x14ac:dyDescent="0.2">
      <c r="A505" s="7"/>
      <c r="B505" s="7"/>
      <c r="C505" s="9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</row>
    <row r="506" spans="1:23" x14ac:dyDescent="0.2">
      <c r="A506" s="7"/>
      <c r="B506" s="7"/>
      <c r="C506" s="9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</row>
    <row r="507" spans="1:23" x14ac:dyDescent="0.2">
      <c r="A507" s="7"/>
      <c r="B507" s="7"/>
      <c r="C507" s="9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</row>
    <row r="508" spans="1:23" x14ac:dyDescent="0.2">
      <c r="A508" s="7"/>
      <c r="B508" s="7"/>
      <c r="C508" s="9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</row>
    <row r="509" spans="1:23" x14ac:dyDescent="0.2">
      <c r="A509" s="7"/>
      <c r="B509" s="7"/>
      <c r="C509" s="9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</row>
    <row r="510" spans="1:23" x14ac:dyDescent="0.2">
      <c r="A510" s="7"/>
      <c r="B510" s="7"/>
      <c r="C510" s="9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</row>
    <row r="511" spans="1:23" x14ac:dyDescent="0.2">
      <c r="A511" s="7"/>
      <c r="B511" s="7"/>
      <c r="C511" s="9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</row>
    <row r="512" spans="1:23" x14ac:dyDescent="0.2">
      <c r="A512" s="7"/>
      <c r="B512" s="7"/>
      <c r="C512" s="9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</row>
    <row r="513" spans="1:23" x14ac:dyDescent="0.2">
      <c r="A513" s="7"/>
      <c r="B513" s="7"/>
      <c r="C513" s="9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</row>
    <row r="514" spans="1:23" x14ac:dyDescent="0.2">
      <c r="A514" s="7"/>
      <c r="B514" s="7"/>
      <c r="C514" s="9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</row>
    <row r="515" spans="1:23" x14ac:dyDescent="0.2">
      <c r="A515" s="7"/>
      <c r="B515" s="7"/>
      <c r="C515" s="9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</row>
    <row r="516" spans="1:23" x14ac:dyDescent="0.2">
      <c r="A516" s="7"/>
      <c r="B516" s="7"/>
      <c r="C516" s="9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</row>
    <row r="517" spans="1:23" x14ac:dyDescent="0.2">
      <c r="A517" s="7"/>
      <c r="B517" s="7"/>
      <c r="C517" s="9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</row>
    <row r="518" spans="1:23" x14ac:dyDescent="0.2">
      <c r="A518" s="7"/>
      <c r="B518" s="7"/>
      <c r="C518" s="9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</row>
    <row r="519" spans="1:23" x14ac:dyDescent="0.2">
      <c r="A519" s="7"/>
      <c r="B519" s="7"/>
      <c r="C519" s="9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</row>
    <row r="520" spans="1:23" x14ac:dyDescent="0.2">
      <c r="A520" s="7"/>
      <c r="B520" s="7"/>
      <c r="C520" s="9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</row>
    <row r="521" spans="1:23" x14ac:dyDescent="0.2">
      <c r="A521" s="7"/>
      <c r="B521" s="7"/>
      <c r="C521" s="9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</row>
    <row r="522" spans="1:23" x14ac:dyDescent="0.2">
      <c r="A522" s="7"/>
      <c r="B522" s="7"/>
      <c r="C522" s="9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</row>
    <row r="523" spans="1:23" x14ac:dyDescent="0.2">
      <c r="A523" s="7"/>
      <c r="B523" s="7"/>
      <c r="C523" s="9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</row>
    <row r="524" spans="1:23" x14ac:dyDescent="0.2">
      <c r="A524" s="7"/>
      <c r="B524" s="7"/>
      <c r="C524" s="9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</row>
    <row r="525" spans="1:23" x14ac:dyDescent="0.2">
      <c r="A525" s="7"/>
      <c r="B525" s="7"/>
      <c r="C525" s="9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</row>
    <row r="526" spans="1:23" x14ac:dyDescent="0.2">
      <c r="A526" s="7"/>
      <c r="B526" s="7"/>
      <c r="C526" s="9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</row>
    <row r="527" spans="1:23" x14ac:dyDescent="0.2">
      <c r="A527" s="7"/>
      <c r="B527" s="7"/>
      <c r="C527" s="9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</row>
    <row r="528" spans="1:23" x14ac:dyDescent="0.2">
      <c r="A528" s="7"/>
      <c r="B528" s="7"/>
      <c r="C528" s="9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</row>
    <row r="529" spans="1:23" x14ac:dyDescent="0.2">
      <c r="A529" s="7"/>
      <c r="B529" s="7"/>
      <c r="C529" s="9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</row>
    <row r="530" spans="1:23" x14ac:dyDescent="0.2">
      <c r="A530" s="7"/>
      <c r="B530" s="7"/>
      <c r="C530" s="9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</row>
    <row r="531" spans="1:23" x14ac:dyDescent="0.2">
      <c r="A531" s="7"/>
      <c r="B531" s="7"/>
      <c r="C531" s="9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</row>
    <row r="532" spans="1:23" x14ac:dyDescent="0.2">
      <c r="A532" s="7"/>
      <c r="B532" s="7"/>
      <c r="C532" s="9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</row>
    <row r="533" spans="1:23" x14ac:dyDescent="0.2">
      <c r="A533" s="7"/>
      <c r="B533" s="7"/>
      <c r="C533" s="9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</row>
    <row r="534" spans="1:23" x14ac:dyDescent="0.2">
      <c r="A534" s="7"/>
      <c r="B534" s="7"/>
      <c r="C534" s="9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</row>
    <row r="535" spans="1:23" x14ac:dyDescent="0.2">
      <c r="A535" s="7"/>
      <c r="B535" s="7"/>
      <c r="C535" s="9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</row>
    <row r="536" spans="1:23" x14ac:dyDescent="0.2">
      <c r="A536" s="7"/>
      <c r="B536" s="7"/>
      <c r="C536" s="9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</row>
    <row r="537" spans="1:23" x14ac:dyDescent="0.2">
      <c r="A537" s="7"/>
      <c r="B537" s="7"/>
      <c r="C537" s="9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</row>
    <row r="538" spans="1:23" x14ac:dyDescent="0.2">
      <c r="A538" s="7"/>
      <c r="B538" s="7"/>
      <c r="C538" s="9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</row>
    <row r="539" spans="1:23" x14ac:dyDescent="0.2">
      <c r="A539" s="7"/>
      <c r="B539" s="7"/>
      <c r="C539" s="9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</row>
    <row r="540" spans="1:23" x14ac:dyDescent="0.2">
      <c r="A540" s="7"/>
      <c r="B540" s="7"/>
      <c r="C540" s="9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</row>
    <row r="541" spans="1:23" x14ac:dyDescent="0.2">
      <c r="A541" s="7"/>
      <c r="B541" s="7"/>
      <c r="C541" s="9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</row>
    <row r="542" spans="1:23" x14ac:dyDescent="0.2">
      <c r="A542" s="7"/>
      <c r="B542" s="7"/>
      <c r="C542" s="9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</row>
    <row r="543" spans="1:23" x14ac:dyDescent="0.2">
      <c r="A543" s="7"/>
      <c r="B543" s="7"/>
      <c r="C543" s="9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</row>
    <row r="544" spans="1:23" x14ac:dyDescent="0.2">
      <c r="A544" s="7"/>
      <c r="B544" s="7"/>
      <c r="C544" s="9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</row>
    <row r="545" spans="1:23" x14ac:dyDescent="0.2">
      <c r="A545" s="7"/>
      <c r="B545" s="7"/>
      <c r="C545" s="9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</row>
    <row r="546" spans="1:23" x14ac:dyDescent="0.2">
      <c r="A546" s="7"/>
      <c r="B546" s="7"/>
      <c r="C546" s="9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</row>
    <row r="547" spans="1:23" x14ac:dyDescent="0.2">
      <c r="A547" s="7"/>
      <c r="B547" s="7"/>
      <c r="C547" s="9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</row>
    <row r="548" spans="1:23" x14ac:dyDescent="0.2">
      <c r="A548" s="7"/>
      <c r="B548" s="7"/>
      <c r="C548" s="9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</row>
    <row r="549" spans="1:23" x14ac:dyDescent="0.2">
      <c r="A549" s="7"/>
      <c r="B549" s="7"/>
      <c r="C549" s="9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</row>
    <row r="550" spans="1:23" x14ac:dyDescent="0.2">
      <c r="A550" s="7"/>
      <c r="B550" s="7"/>
      <c r="C550" s="9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</row>
    <row r="551" spans="1:23" x14ac:dyDescent="0.2">
      <c r="A551" s="7"/>
      <c r="B551" s="7"/>
      <c r="C551" s="9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</row>
    <row r="552" spans="1:23" x14ac:dyDescent="0.2">
      <c r="A552" s="7"/>
      <c r="B552" s="7"/>
      <c r="C552" s="9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</row>
    <row r="553" spans="1:23" x14ac:dyDescent="0.2">
      <c r="A553" s="7"/>
      <c r="B553" s="7"/>
      <c r="C553" s="9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</row>
    <row r="554" spans="1:23" x14ac:dyDescent="0.2">
      <c r="A554" s="7"/>
      <c r="B554" s="7"/>
      <c r="C554" s="9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</row>
    <row r="555" spans="1:23" x14ac:dyDescent="0.2">
      <c r="A555" s="7"/>
      <c r="B555" s="7"/>
      <c r="C555" s="9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</row>
    <row r="556" spans="1:23" x14ac:dyDescent="0.2">
      <c r="A556" s="7"/>
      <c r="B556" s="7"/>
      <c r="C556" s="9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</row>
    <row r="557" spans="1:23" x14ac:dyDescent="0.2">
      <c r="A557" s="7"/>
      <c r="B557" s="7"/>
      <c r="C557" s="9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</row>
    <row r="558" spans="1:23" x14ac:dyDescent="0.2">
      <c r="A558" s="7"/>
      <c r="B558" s="7"/>
      <c r="C558" s="9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</row>
    <row r="559" spans="1:23" x14ac:dyDescent="0.2">
      <c r="A559" s="7"/>
      <c r="B559" s="7"/>
      <c r="C559" s="9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</row>
    <row r="560" spans="1:23" x14ac:dyDescent="0.2">
      <c r="A560" s="7"/>
      <c r="B560" s="7"/>
      <c r="C560" s="9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</row>
    <row r="561" spans="1:23" x14ac:dyDescent="0.2">
      <c r="A561" s="7"/>
      <c r="B561" s="7"/>
      <c r="C561" s="9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</row>
    <row r="562" spans="1:23" x14ac:dyDescent="0.2">
      <c r="A562" s="7"/>
      <c r="B562" s="7"/>
      <c r="C562" s="9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</row>
    <row r="563" spans="1:23" x14ac:dyDescent="0.2">
      <c r="A563" s="7"/>
      <c r="B563" s="7"/>
      <c r="C563" s="9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</row>
    <row r="564" spans="1:23" x14ac:dyDescent="0.2">
      <c r="A564" s="7"/>
      <c r="B564" s="7"/>
      <c r="C564" s="9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</row>
    <row r="565" spans="1:23" x14ac:dyDescent="0.2">
      <c r="A565" s="7"/>
      <c r="B565" s="7"/>
      <c r="C565" s="9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</row>
    <row r="566" spans="1:23" x14ac:dyDescent="0.2">
      <c r="A566" s="7"/>
      <c r="B566" s="7"/>
      <c r="C566" s="9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</row>
    <row r="567" spans="1:23" x14ac:dyDescent="0.2">
      <c r="A567" s="7"/>
      <c r="B567" s="7"/>
      <c r="C567" s="9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</row>
    <row r="568" spans="1:23" x14ac:dyDescent="0.2">
      <c r="A568" s="7"/>
      <c r="B568" s="7"/>
      <c r="C568" s="9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</row>
    <row r="569" spans="1:23" x14ac:dyDescent="0.2">
      <c r="A569" s="7"/>
      <c r="B569" s="7"/>
      <c r="C569" s="9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</row>
    <row r="570" spans="1:23" x14ac:dyDescent="0.2">
      <c r="A570" s="7"/>
      <c r="B570" s="7"/>
      <c r="C570" s="9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</row>
    <row r="571" spans="1:23" x14ac:dyDescent="0.2">
      <c r="A571" s="7"/>
      <c r="B571" s="7"/>
      <c r="C571" s="9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</row>
    <row r="572" spans="1:23" x14ac:dyDescent="0.2">
      <c r="A572" s="7"/>
      <c r="B572" s="7"/>
      <c r="C572" s="9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</row>
    <row r="573" spans="1:23" x14ac:dyDescent="0.2">
      <c r="A573" s="7"/>
      <c r="B573" s="7"/>
      <c r="C573" s="9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</row>
    <row r="574" spans="1:23" x14ac:dyDescent="0.2">
      <c r="A574" s="7"/>
      <c r="B574" s="7"/>
      <c r="C574" s="9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</row>
    <row r="575" spans="1:23" x14ac:dyDescent="0.2">
      <c r="A575" s="7"/>
      <c r="B575" s="7"/>
      <c r="C575" s="9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</row>
    <row r="576" spans="1:23" x14ac:dyDescent="0.2">
      <c r="A576" s="7"/>
      <c r="B576" s="7"/>
      <c r="C576" s="9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</row>
    <row r="577" spans="1:23" x14ac:dyDescent="0.2">
      <c r="A577" s="7"/>
      <c r="B577" s="7"/>
      <c r="C577" s="9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</row>
    <row r="578" spans="1:23" x14ac:dyDescent="0.2">
      <c r="A578" s="7"/>
      <c r="B578" s="7"/>
      <c r="C578" s="9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</row>
    <row r="579" spans="1:23" x14ac:dyDescent="0.2">
      <c r="A579" s="7"/>
      <c r="B579" s="7"/>
      <c r="C579" s="9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</row>
    <row r="580" spans="1:23" x14ac:dyDescent="0.2">
      <c r="A580" s="7"/>
      <c r="B580" s="7"/>
      <c r="C580" s="9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</row>
    <row r="581" spans="1:23" x14ac:dyDescent="0.2">
      <c r="A581" s="7"/>
      <c r="B581" s="7"/>
      <c r="C581" s="9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</row>
    <row r="582" spans="1:23" x14ac:dyDescent="0.2">
      <c r="A582" s="7"/>
      <c r="B582" s="7"/>
      <c r="C582" s="9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</row>
    <row r="583" spans="1:23" x14ac:dyDescent="0.2">
      <c r="A583" s="7"/>
      <c r="B583" s="7"/>
      <c r="C583" s="9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</row>
    <row r="584" spans="1:23" x14ac:dyDescent="0.2">
      <c r="A584" s="7"/>
      <c r="B584" s="7"/>
      <c r="C584" s="9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</row>
    <row r="585" spans="1:23" x14ac:dyDescent="0.2">
      <c r="A585" s="7"/>
      <c r="B585" s="7"/>
      <c r="C585" s="9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</row>
    <row r="586" spans="1:23" x14ac:dyDescent="0.2">
      <c r="A586" s="7"/>
      <c r="B586" s="7"/>
      <c r="C586" s="9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</row>
    <row r="587" spans="1:23" x14ac:dyDescent="0.2">
      <c r="A587" s="7"/>
      <c r="B587" s="7"/>
      <c r="C587" s="9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</row>
    <row r="588" spans="1:23" x14ac:dyDescent="0.2">
      <c r="A588" s="7"/>
      <c r="B588" s="7"/>
      <c r="C588" s="9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</row>
    <row r="589" spans="1:23" x14ac:dyDescent="0.2">
      <c r="A589" s="7"/>
      <c r="B589" s="7"/>
      <c r="C589" s="9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</row>
    <row r="590" spans="1:23" x14ac:dyDescent="0.2">
      <c r="A590" s="7"/>
      <c r="B590" s="7"/>
      <c r="C590" s="9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</row>
    <row r="591" spans="1:23" x14ac:dyDescent="0.2">
      <c r="A591" s="7"/>
      <c r="B591" s="7"/>
      <c r="C591" s="9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</row>
    <row r="592" spans="1:23" x14ac:dyDescent="0.2">
      <c r="A592" s="7"/>
      <c r="B592" s="7"/>
      <c r="C592" s="9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</row>
    <row r="593" spans="1:23" x14ac:dyDescent="0.2">
      <c r="A593" s="7"/>
      <c r="B593" s="7"/>
      <c r="C593" s="9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</row>
    <row r="594" spans="1:23" x14ac:dyDescent="0.2">
      <c r="A594" s="7"/>
      <c r="B594" s="7"/>
      <c r="C594" s="9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</row>
    <row r="595" spans="1:23" x14ac:dyDescent="0.2">
      <c r="A595" s="7"/>
      <c r="B595" s="7"/>
      <c r="C595" s="9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</row>
    <row r="596" spans="1:23" x14ac:dyDescent="0.2">
      <c r="A596" s="7"/>
      <c r="B596" s="7"/>
      <c r="C596" s="9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</row>
    <row r="597" spans="1:23" x14ac:dyDescent="0.2">
      <c r="A597" s="7"/>
      <c r="B597" s="7"/>
      <c r="C597" s="9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</row>
    <row r="598" spans="1:23" x14ac:dyDescent="0.2">
      <c r="A598" s="7"/>
      <c r="B598" s="7"/>
      <c r="C598" s="9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</row>
    <row r="599" spans="1:23" x14ac:dyDescent="0.2">
      <c r="A599" s="7"/>
      <c r="B599" s="7"/>
      <c r="C599" s="9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</row>
    <row r="600" spans="1:23" x14ac:dyDescent="0.2">
      <c r="A600" s="7"/>
      <c r="B600" s="7"/>
      <c r="C600" s="9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</row>
    <row r="601" spans="1:23" x14ac:dyDescent="0.2">
      <c r="A601" s="7"/>
      <c r="B601" s="7"/>
      <c r="C601" s="9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</row>
    <row r="602" spans="1:23" x14ac:dyDescent="0.2">
      <c r="A602" s="7"/>
      <c r="B602" s="7"/>
      <c r="C602" s="9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</row>
    <row r="603" spans="1:23" x14ac:dyDescent="0.2">
      <c r="A603" s="7"/>
      <c r="B603" s="7"/>
      <c r="C603" s="9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</row>
    <row r="604" spans="1:23" x14ac:dyDescent="0.2">
      <c r="A604" s="7"/>
      <c r="B604" s="7"/>
      <c r="C604" s="9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</row>
    <row r="605" spans="1:23" x14ac:dyDescent="0.2">
      <c r="A605" s="7"/>
      <c r="B605" s="7"/>
      <c r="C605" s="9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</row>
    <row r="606" spans="1:23" x14ac:dyDescent="0.2">
      <c r="A606" s="7"/>
      <c r="B606" s="7"/>
      <c r="C606" s="9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</row>
    <row r="607" spans="1:23" x14ac:dyDescent="0.2">
      <c r="A607" s="7"/>
      <c r="B607" s="7"/>
      <c r="C607" s="9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</row>
    <row r="608" spans="1:23" x14ac:dyDescent="0.2">
      <c r="A608" s="7"/>
      <c r="B608" s="7"/>
      <c r="C608" s="9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</row>
    <row r="609" spans="1:23" x14ac:dyDescent="0.2">
      <c r="A609" s="7"/>
      <c r="B609" s="7"/>
      <c r="C609" s="9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</row>
    <row r="610" spans="1:23" x14ac:dyDescent="0.2">
      <c r="A610" s="7"/>
      <c r="B610" s="7"/>
      <c r="C610" s="9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</row>
    <row r="611" spans="1:23" x14ac:dyDescent="0.2">
      <c r="A611" s="7"/>
      <c r="B611" s="7"/>
      <c r="C611" s="9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</row>
    <row r="612" spans="1:23" x14ac:dyDescent="0.2">
      <c r="A612" s="7"/>
      <c r="B612" s="7"/>
      <c r="C612" s="9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</row>
    <row r="613" spans="1:23" x14ac:dyDescent="0.2">
      <c r="A613" s="7"/>
      <c r="B613" s="7"/>
      <c r="C613" s="9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</row>
    <row r="614" spans="1:23" x14ac:dyDescent="0.2">
      <c r="A614" s="7"/>
      <c r="B614" s="7"/>
      <c r="C614" s="9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</row>
    <row r="615" spans="1:23" x14ac:dyDescent="0.2">
      <c r="A615" s="7"/>
      <c r="B615" s="7"/>
      <c r="C615" s="9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</row>
    <row r="616" spans="1:23" x14ac:dyDescent="0.2">
      <c r="A616" s="7"/>
      <c r="B616" s="7"/>
      <c r="C616" s="9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</row>
    <row r="617" spans="1:23" x14ac:dyDescent="0.2">
      <c r="A617" s="7"/>
      <c r="B617" s="7"/>
      <c r="C617" s="9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</row>
    <row r="618" spans="1:23" x14ac:dyDescent="0.2">
      <c r="A618" s="7"/>
      <c r="B618" s="7"/>
      <c r="C618" s="9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</row>
    <row r="619" spans="1:23" x14ac:dyDescent="0.2">
      <c r="A619" s="7"/>
      <c r="B619" s="7"/>
      <c r="C619" s="9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</row>
    <row r="620" spans="1:23" x14ac:dyDescent="0.2">
      <c r="A620" s="7"/>
      <c r="B620" s="7"/>
      <c r="C620" s="9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</row>
    <row r="621" spans="1:23" x14ac:dyDescent="0.2">
      <c r="A621" s="7"/>
      <c r="B621" s="7"/>
      <c r="C621" s="9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</row>
    <row r="622" spans="1:23" x14ac:dyDescent="0.2">
      <c r="A622" s="7"/>
      <c r="B622" s="7"/>
      <c r="C622" s="9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</row>
    <row r="623" spans="1:23" x14ac:dyDescent="0.2">
      <c r="A623" s="7"/>
      <c r="B623" s="7"/>
      <c r="C623" s="9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</row>
    <row r="624" spans="1:23" x14ac:dyDescent="0.2">
      <c r="A624" s="7"/>
      <c r="B624" s="7"/>
      <c r="C624" s="9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</row>
    <row r="625" spans="1:23" x14ac:dyDescent="0.2">
      <c r="A625" s="7"/>
      <c r="B625" s="7"/>
      <c r="C625" s="9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</row>
    <row r="626" spans="1:23" x14ac:dyDescent="0.2">
      <c r="A626" s="7"/>
      <c r="B626" s="7"/>
      <c r="C626" s="9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</row>
    <row r="627" spans="1:23" x14ac:dyDescent="0.2">
      <c r="A627" s="7"/>
      <c r="B627" s="7"/>
      <c r="C627" s="9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</row>
    <row r="628" spans="1:23" x14ac:dyDescent="0.2">
      <c r="A628" s="7"/>
      <c r="B628" s="7"/>
      <c r="C628" s="9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</row>
    <row r="629" spans="1:23" x14ac:dyDescent="0.2">
      <c r="A629" s="7"/>
      <c r="B629" s="7"/>
      <c r="C629" s="9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</row>
    <row r="630" spans="1:23" x14ac:dyDescent="0.2">
      <c r="A630" s="7"/>
      <c r="B630" s="7"/>
      <c r="C630" s="9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</row>
    <row r="631" spans="1:23" x14ac:dyDescent="0.2">
      <c r="A631" s="7"/>
      <c r="B631" s="7"/>
      <c r="C631" s="9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</row>
    <row r="632" spans="1:23" x14ac:dyDescent="0.2">
      <c r="A632" s="7"/>
      <c r="B632" s="7"/>
      <c r="C632" s="9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</row>
    <row r="633" spans="1:23" x14ac:dyDescent="0.2">
      <c r="A633" s="7"/>
      <c r="B633" s="7"/>
      <c r="C633" s="9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</row>
    <row r="634" spans="1:23" x14ac:dyDescent="0.2">
      <c r="A634" s="7"/>
      <c r="B634" s="7"/>
      <c r="C634" s="9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</row>
    <row r="635" spans="1:23" x14ac:dyDescent="0.2">
      <c r="A635" s="7"/>
      <c r="B635" s="7"/>
      <c r="C635" s="9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</row>
    <row r="636" spans="1:23" x14ac:dyDescent="0.2">
      <c r="A636" s="7"/>
      <c r="B636" s="7"/>
      <c r="C636" s="9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</row>
    <row r="637" spans="1:23" x14ac:dyDescent="0.2">
      <c r="A637" s="7"/>
      <c r="B637" s="7"/>
      <c r="C637" s="9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</row>
    <row r="638" spans="1:23" x14ac:dyDescent="0.2">
      <c r="A638" s="7"/>
      <c r="B638" s="7"/>
      <c r="C638" s="9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</row>
    <row r="639" spans="1:23" x14ac:dyDescent="0.2">
      <c r="A639" s="7"/>
      <c r="B639" s="7"/>
      <c r="C639" s="9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</row>
    <row r="640" spans="1:23" x14ac:dyDescent="0.2">
      <c r="A640" s="7"/>
      <c r="B640" s="7"/>
      <c r="C640" s="9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</row>
    <row r="641" spans="1:23" x14ac:dyDescent="0.2">
      <c r="A641" s="7"/>
      <c r="B641" s="7"/>
      <c r="C641" s="9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</row>
    <row r="642" spans="1:23" x14ac:dyDescent="0.2">
      <c r="A642" s="7"/>
      <c r="B642" s="7"/>
      <c r="C642" s="9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</row>
    <row r="643" spans="1:23" x14ac:dyDescent="0.2">
      <c r="A643" s="7"/>
      <c r="B643" s="7"/>
      <c r="C643" s="9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</row>
    <row r="644" spans="1:23" x14ac:dyDescent="0.2">
      <c r="A644" s="7"/>
      <c r="B644" s="7"/>
      <c r="C644" s="9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</row>
    <row r="645" spans="1:23" x14ac:dyDescent="0.2">
      <c r="A645" s="7"/>
      <c r="B645" s="7"/>
      <c r="C645" s="9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</row>
    <row r="646" spans="1:23" x14ac:dyDescent="0.2">
      <c r="A646" s="7"/>
      <c r="B646" s="7"/>
      <c r="C646" s="9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</row>
    <row r="647" spans="1:23" x14ac:dyDescent="0.2">
      <c r="A647" s="7"/>
      <c r="B647" s="7"/>
      <c r="C647" s="9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</row>
    <row r="648" spans="1:23" x14ac:dyDescent="0.2">
      <c r="A648" s="7"/>
      <c r="B648" s="7"/>
      <c r="C648" s="9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</row>
    <row r="649" spans="1:23" x14ac:dyDescent="0.2">
      <c r="A649" s="7"/>
      <c r="B649" s="7"/>
      <c r="C649" s="9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</row>
    <row r="650" spans="1:23" x14ac:dyDescent="0.2">
      <c r="A650" s="7"/>
      <c r="B650" s="7"/>
      <c r="C650" s="9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</row>
    <row r="651" spans="1:23" x14ac:dyDescent="0.2">
      <c r="A651" s="7"/>
      <c r="B651" s="7"/>
      <c r="C651" s="9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</row>
    <row r="652" spans="1:23" x14ac:dyDescent="0.2">
      <c r="A652" s="7"/>
      <c r="B652" s="7"/>
      <c r="C652" s="9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</row>
    <row r="653" spans="1:23" x14ac:dyDescent="0.2">
      <c r="A653" s="7"/>
      <c r="B653" s="7"/>
      <c r="C653" s="9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</row>
    <row r="654" spans="1:23" x14ac:dyDescent="0.2">
      <c r="A654" s="7"/>
      <c r="B654" s="7"/>
      <c r="C654" s="9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</row>
    <row r="655" spans="1:23" x14ac:dyDescent="0.2">
      <c r="A655" s="7"/>
      <c r="B655" s="7"/>
      <c r="C655" s="9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</row>
    <row r="656" spans="1:23" x14ac:dyDescent="0.2">
      <c r="A656" s="7"/>
      <c r="B656" s="7"/>
      <c r="C656" s="9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</row>
    <row r="657" spans="1:23" x14ac:dyDescent="0.2">
      <c r="A657" s="7"/>
      <c r="B657" s="7"/>
      <c r="C657" s="9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</row>
    <row r="658" spans="1:23" x14ac:dyDescent="0.2">
      <c r="A658" s="7"/>
      <c r="B658" s="7"/>
      <c r="C658" s="9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</row>
    <row r="659" spans="1:23" x14ac:dyDescent="0.2">
      <c r="A659" s="7"/>
      <c r="B659" s="7"/>
      <c r="C659" s="9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</row>
    <row r="660" spans="1:23" x14ac:dyDescent="0.2">
      <c r="A660" s="7"/>
      <c r="B660" s="7"/>
      <c r="C660" s="9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</row>
    <row r="661" spans="1:23" x14ac:dyDescent="0.2">
      <c r="A661" s="7"/>
      <c r="B661" s="7"/>
      <c r="C661" s="9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</row>
    <row r="662" spans="1:23" x14ac:dyDescent="0.2">
      <c r="A662" s="7"/>
      <c r="B662" s="7"/>
      <c r="C662" s="9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</row>
    <row r="663" spans="1:23" x14ac:dyDescent="0.2">
      <c r="A663" s="7"/>
      <c r="B663" s="7"/>
      <c r="C663" s="9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</row>
    <row r="664" spans="1:23" x14ac:dyDescent="0.2">
      <c r="A664" s="7"/>
      <c r="B664" s="7"/>
      <c r="C664" s="9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</row>
    <row r="665" spans="1:23" x14ac:dyDescent="0.2">
      <c r="A665" s="7"/>
      <c r="B665" s="7"/>
      <c r="C665" s="9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</row>
    <row r="666" spans="1:23" x14ac:dyDescent="0.2">
      <c r="A666" s="7"/>
      <c r="B666" s="7"/>
      <c r="C666" s="9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</row>
    <row r="667" spans="1:23" x14ac:dyDescent="0.2">
      <c r="A667" s="7"/>
      <c r="B667" s="7"/>
      <c r="C667" s="9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</row>
    <row r="668" spans="1:23" x14ac:dyDescent="0.2">
      <c r="A668" s="7"/>
      <c r="B668" s="7"/>
      <c r="C668" s="9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</row>
    <row r="669" spans="1:23" x14ac:dyDescent="0.2">
      <c r="A669" s="7"/>
      <c r="B669" s="7"/>
      <c r="C669" s="9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</row>
    <row r="670" spans="1:23" x14ac:dyDescent="0.2">
      <c r="A670" s="7"/>
      <c r="B670" s="7"/>
      <c r="C670" s="9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</row>
    <row r="671" spans="1:23" x14ac:dyDescent="0.2">
      <c r="A671" s="7"/>
      <c r="B671" s="7"/>
      <c r="C671" s="9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</row>
    <row r="672" spans="1:23" x14ac:dyDescent="0.2">
      <c r="A672" s="7"/>
      <c r="B672" s="7"/>
      <c r="C672" s="9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</row>
    <row r="673" spans="1:23" x14ac:dyDescent="0.2">
      <c r="A673" s="7"/>
      <c r="B673" s="7"/>
      <c r="C673" s="9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</row>
    <row r="674" spans="1:23" x14ac:dyDescent="0.2">
      <c r="A674" s="7"/>
      <c r="B674" s="7"/>
      <c r="C674" s="9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</row>
    <row r="675" spans="1:23" x14ac:dyDescent="0.2">
      <c r="A675" s="7"/>
      <c r="B675" s="7"/>
      <c r="C675" s="9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</row>
    <row r="676" spans="1:23" x14ac:dyDescent="0.2">
      <c r="A676" s="7"/>
      <c r="B676" s="7"/>
      <c r="C676" s="9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</row>
    <row r="677" spans="1:23" x14ac:dyDescent="0.2">
      <c r="A677" s="7"/>
      <c r="B677" s="7"/>
      <c r="C677" s="9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</row>
    <row r="678" spans="1:23" x14ac:dyDescent="0.2">
      <c r="A678" s="7"/>
      <c r="B678" s="7"/>
      <c r="C678" s="9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</row>
    <row r="679" spans="1:23" x14ac:dyDescent="0.2">
      <c r="A679" s="7"/>
      <c r="B679" s="7"/>
      <c r="C679" s="9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</row>
    <row r="680" spans="1:23" x14ac:dyDescent="0.2">
      <c r="A680" s="7"/>
      <c r="B680" s="7"/>
      <c r="C680" s="9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</row>
    <row r="681" spans="1:23" x14ac:dyDescent="0.2">
      <c r="A681" s="7"/>
      <c r="B681" s="7"/>
      <c r="C681" s="9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</row>
    <row r="682" spans="1:23" x14ac:dyDescent="0.2">
      <c r="A682" s="7"/>
      <c r="B682" s="7"/>
      <c r="C682" s="9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</row>
    <row r="683" spans="1:23" x14ac:dyDescent="0.2">
      <c r="A683" s="7"/>
      <c r="B683" s="7"/>
      <c r="C683" s="9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</row>
    <row r="684" spans="1:23" x14ac:dyDescent="0.2">
      <c r="A684" s="7"/>
      <c r="B684" s="7"/>
      <c r="C684" s="9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</row>
    <row r="685" spans="1:23" x14ac:dyDescent="0.2">
      <c r="A685" s="7"/>
      <c r="B685" s="7"/>
      <c r="C685" s="9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</row>
    <row r="686" spans="1:23" x14ac:dyDescent="0.2">
      <c r="A686" s="7"/>
      <c r="B686" s="7"/>
      <c r="C686" s="9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</row>
    <row r="687" spans="1:23" x14ac:dyDescent="0.2">
      <c r="A687" s="7"/>
      <c r="B687" s="7"/>
      <c r="C687" s="9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</row>
    <row r="688" spans="1:23" x14ac:dyDescent="0.2">
      <c r="A688" s="7"/>
      <c r="B688" s="7"/>
      <c r="C688" s="9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</row>
    <row r="689" spans="1:23" x14ac:dyDescent="0.2">
      <c r="A689" s="7"/>
      <c r="B689" s="7"/>
      <c r="C689" s="9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</row>
    <row r="690" spans="1:23" x14ac:dyDescent="0.2">
      <c r="A690" s="7"/>
      <c r="B690" s="7"/>
      <c r="C690" s="9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</row>
    <row r="691" spans="1:23" x14ac:dyDescent="0.2">
      <c r="A691" s="7"/>
      <c r="B691" s="7"/>
      <c r="C691" s="9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</row>
    <row r="692" spans="1:23" x14ac:dyDescent="0.2">
      <c r="A692" s="7"/>
      <c r="B692" s="7"/>
      <c r="C692" s="9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</row>
    <row r="693" spans="1:23" x14ac:dyDescent="0.2">
      <c r="A693" s="7"/>
      <c r="B693" s="7"/>
      <c r="C693" s="9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</row>
    <row r="694" spans="1:23" x14ac:dyDescent="0.2">
      <c r="A694" s="7"/>
      <c r="B694" s="7"/>
      <c r="C694" s="9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</row>
    <row r="695" spans="1:23" x14ac:dyDescent="0.2">
      <c r="A695" s="7"/>
      <c r="B695" s="7"/>
      <c r="C695" s="9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</row>
    <row r="696" spans="1:23" x14ac:dyDescent="0.2">
      <c r="A696" s="7"/>
      <c r="B696" s="7"/>
      <c r="C696" s="9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</row>
    <row r="697" spans="1:23" x14ac:dyDescent="0.2">
      <c r="A697" s="7"/>
      <c r="B697" s="7"/>
      <c r="C697" s="9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</row>
    <row r="698" spans="1:23" x14ac:dyDescent="0.2">
      <c r="A698" s="7"/>
      <c r="B698" s="7"/>
      <c r="C698" s="9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</row>
    <row r="699" spans="1:23" x14ac:dyDescent="0.2">
      <c r="A699" s="7"/>
      <c r="B699" s="7"/>
      <c r="C699" s="9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</row>
    <row r="700" spans="1:23" x14ac:dyDescent="0.2">
      <c r="A700" s="7"/>
      <c r="B700" s="7"/>
      <c r="C700" s="9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</row>
    <row r="701" spans="1:23" x14ac:dyDescent="0.2">
      <c r="A701" s="7"/>
      <c r="B701" s="7"/>
      <c r="C701" s="9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</row>
    <row r="702" spans="1:23" x14ac:dyDescent="0.2">
      <c r="A702" s="7"/>
      <c r="B702" s="7"/>
      <c r="C702" s="9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</row>
    <row r="703" spans="1:23" x14ac:dyDescent="0.2">
      <c r="A703" s="7"/>
      <c r="B703" s="7"/>
      <c r="C703" s="9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</row>
    <row r="704" spans="1:23" x14ac:dyDescent="0.2">
      <c r="A704" s="7"/>
      <c r="B704" s="7"/>
      <c r="C704" s="9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</row>
    <row r="705" spans="1:23" x14ac:dyDescent="0.2">
      <c r="A705" s="7"/>
      <c r="B705" s="7"/>
      <c r="C705" s="9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</row>
    <row r="706" spans="1:23" x14ac:dyDescent="0.2">
      <c r="A706" s="7"/>
      <c r="B706" s="7"/>
      <c r="C706" s="9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</row>
    <row r="707" spans="1:23" x14ac:dyDescent="0.2">
      <c r="A707" s="7"/>
      <c r="B707" s="7"/>
      <c r="C707" s="9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</row>
    <row r="708" spans="1:23" x14ac:dyDescent="0.2">
      <c r="A708" s="7"/>
      <c r="B708" s="7"/>
      <c r="C708" s="9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</row>
    <row r="709" spans="1:23" x14ac:dyDescent="0.2">
      <c r="A709" s="7"/>
      <c r="B709" s="7"/>
      <c r="C709" s="9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</row>
    <row r="710" spans="1:23" x14ac:dyDescent="0.2">
      <c r="A710" s="7"/>
      <c r="B710" s="7"/>
      <c r="C710" s="9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</row>
    <row r="711" spans="1:23" x14ac:dyDescent="0.2">
      <c r="A711" s="7"/>
      <c r="B711" s="7"/>
      <c r="C711" s="9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</row>
    <row r="712" spans="1:23" x14ac:dyDescent="0.2">
      <c r="A712" s="7"/>
      <c r="B712" s="7"/>
      <c r="C712" s="9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</row>
    <row r="713" spans="1:23" x14ac:dyDescent="0.2">
      <c r="A713" s="7"/>
      <c r="B713" s="7"/>
      <c r="C713" s="9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</row>
    <row r="714" spans="1:23" x14ac:dyDescent="0.2">
      <c r="A714" s="7"/>
      <c r="B714" s="7"/>
      <c r="C714" s="9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</row>
    <row r="715" spans="1:23" x14ac:dyDescent="0.2">
      <c r="A715" s="7"/>
      <c r="B715" s="7"/>
      <c r="C715" s="9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</row>
    <row r="716" spans="1:23" x14ac:dyDescent="0.2">
      <c r="A716" s="7"/>
      <c r="B716" s="7"/>
      <c r="C716" s="9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</row>
    <row r="717" spans="1:23" x14ac:dyDescent="0.2">
      <c r="A717" s="7"/>
      <c r="B717" s="7"/>
      <c r="C717" s="9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</row>
    <row r="718" spans="1:23" x14ac:dyDescent="0.2">
      <c r="A718" s="7"/>
      <c r="B718" s="7"/>
      <c r="C718" s="9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</row>
    <row r="719" spans="1:23" x14ac:dyDescent="0.2">
      <c r="A719" s="7"/>
      <c r="B719" s="7"/>
      <c r="C719" s="9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</row>
    <row r="720" spans="1:23" x14ac:dyDescent="0.2">
      <c r="A720" s="7"/>
      <c r="B720" s="7"/>
      <c r="C720" s="9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</row>
    <row r="721" spans="1:23" x14ac:dyDescent="0.2">
      <c r="A721" s="7"/>
      <c r="B721" s="7"/>
      <c r="C721" s="9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</row>
    <row r="722" spans="1:23" x14ac:dyDescent="0.2">
      <c r="A722" s="7"/>
      <c r="B722" s="7"/>
      <c r="C722" s="9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</row>
    <row r="723" spans="1:23" x14ac:dyDescent="0.2">
      <c r="A723" s="7"/>
      <c r="B723" s="7"/>
      <c r="C723" s="9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</row>
    <row r="724" spans="1:23" x14ac:dyDescent="0.2">
      <c r="A724" s="7"/>
      <c r="B724" s="7"/>
      <c r="C724" s="9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</row>
    <row r="725" spans="1:23" x14ac:dyDescent="0.2">
      <c r="A725" s="7"/>
      <c r="B725" s="7"/>
      <c r="C725" s="9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</row>
    <row r="726" spans="1:23" x14ac:dyDescent="0.2">
      <c r="A726" s="7"/>
      <c r="B726" s="7"/>
      <c r="C726" s="9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</row>
    <row r="727" spans="1:23" x14ac:dyDescent="0.2">
      <c r="A727" s="7"/>
      <c r="B727" s="7"/>
      <c r="C727" s="9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</row>
    <row r="728" spans="1:23" x14ac:dyDescent="0.2">
      <c r="A728" s="7"/>
      <c r="B728" s="7"/>
      <c r="C728" s="9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</row>
    <row r="729" spans="1:23" x14ac:dyDescent="0.2">
      <c r="A729" s="7"/>
      <c r="B729" s="7"/>
      <c r="C729" s="9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</row>
    <row r="730" spans="1:23" x14ac:dyDescent="0.2">
      <c r="A730" s="7"/>
      <c r="B730" s="7"/>
      <c r="C730" s="9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</row>
    <row r="731" spans="1:23" x14ac:dyDescent="0.2">
      <c r="A731" s="7"/>
      <c r="B731" s="7"/>
      <c r="C731" s="9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</row>
    <row r="732" spans="1:23" x14ac:dyDescent="0.2">
      <c r="A732" s="7"/>
      <c r="B732" s="7"/>
      <c r="C732" s="9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</row>
    <row r="733" spans="1:23" x14ac:dyDescent="0.2">
      <c r="A733" s="7"/>
      <c r="B733" s="7"/>
      <c r="C733" s="9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</row>
    <row r="734" spans="1:23" x14ac:dyDescent="0.2">
      <c r="A734" s="7"/>
      <c r="B734" s="7"/>
      <c r="C734" s="9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</row>
    <row r="735" spans="1:23" x14ac:dyDescent="0.2">
      <c r="A735" s="7"/>
      <c r="B735" s="7"/>
      <c r="C735" s="9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</row>
    <row r="736" spans="1:23" x14ac:dyDescent="0.2">
      <c r="A736" s="7"/>
      <c r="B736" s="7"/>
      <c r="C736" s="9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</row>
    <row r="737" spans="1:23" x14ac:dyDescent="0.2">
      <c r="A737" s="7"/>
      <c r="B737" s="7"/>
      <c r="C737" s="9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</row>
    <row r="738" spans="1:23" x14ac:dyDescent="0.2">
      <c r="A738" s="7"/>
      <c r="B738" s="7"/>
      <c r="C738" s="9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</row>
    <row r="739" spans="1:23" x14ac:dyDescent="0.2">
      <c r="A739" s="7"/>
      <c r="B739" s="7"/>
      <c r="C739" s="9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</row>
    <row r="740" spans="1:23" x14ac:dyDescent="0.2">
      <c r="A740" s="7"/>
      <c r="B740" s="7"/>
      <c r="C740" s="9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</row>
    <row r="741" spans="1:23" x14ac:dyDescent="0.2">
      <c r="A741" s="7"/>
      <c r="B741" s="7"/>
      <c r="C741" s="9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</row>
    <row r="742" spans="1:23" x14ac:dyDescent="0.2">
      <c r="A742" s="7"/>
      <c r="B742" s="7"/>
      <c r="C742" s="9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</row>
    <row r="743" spans="1:23" x14ac:dyDescent="0.2">
      <c r="A743" s="7"/>
      <c r="B743" s="7"/>
      <c r="C743" s="9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</row>
    <row r="744" spans="1:23" x14ac:dyDescent="0.2">
      <c r="A744" s="7"/>
      <c r="B744" s="7"/>
      <c r="C744" s="9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</row>
    <row r="745" spans="1:23" x14ac:dyDescent="0.2">
      <c r="A745" s="7"/>
      <c r="B745" s="7"/>
      <c r="C745" s="9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</row>
    <row r="746" spans="1:23" x14ac:dyDescent="0.2">
      <c r="A746" s="7"/>
      <c r="B746" s="7"/>
      <c r="C746" s="9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</row>
    <row r="747" spans="1:23" x14ac:dyDescent="0.2">
      <c r="A747" s="7"/>
      <c r="B747" s="7"/>
      <c r="C747" s="9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</row>
    <row r="748" spans="1:23" x14ac:dyDescent="0.2">
      <c r="A748" s="7"/>
      <c r="B748" s="7"/>
      <c r="C748" s="9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</row>
    <row r="749" spans="1:23" x14ac:dyDescent="0.2">
      <c r="A749" s="7"/>
      <c r="B749" s="7"/>
      <c r="C749" s="9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</row>
    <row r="750" spans="1:23" x14ac:dyDescent="0.2">
      <c r="A750" s="7"/>
      <c r="B750" s="7"/>
      <c r="C750" s="9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</row>
    <row r="751" spans="1:23" x14ac:dyDescent="0.2">
      <c r="A751" s="7"/>
      <c r="B751" s="7"/>
      <c r="C751" s="9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</row>
    <row r="752" spans="1:23" x14ac:dyDescent="0.2">
      <c r="A752" s="7"/>
      <c r="B752" s="7"/>
      <c r="C752" s="9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</row>
    <row r="753" spans="1:23" x14ac:dyDescent="0.2">
      <c r="A753" s="7"/>
      <c r="B753" s="7"/>
      <c r="C753" s="9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</row>
    <row r="754" spans="1:23" x14ac:dyDescent="0.2">
      <c r="A754" s="7"/>
      <c r="B754" s="7"/>
      <c r="C754" s="9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</row>
    <row r="755" spans="1:23" x14ac:dyDescent="0.2">
      <c r="A755" s="7"/>
      <c r="B755" s="7"/>
      <c r="C755" s="9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</row>
    <row r="756" spans="1:23" x14ac:dyDescent="0.2">
      <c r="A756" s="7"/>
      <c r="B756" s="7"/>
      <c r="C756" s="9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</row>
    <row r="757" spans="1:23" x14ac:dyDescent="0.2">
      <c r="A757" s="7"/>
      <c r="B757" s="7"/>
      <c r="C757" s="9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</row>
    <row r="758" spans="1:23" x14ac:dyDescent="0.2">
      <c r="A758" s="7"/>
      <c r="B758" s="7"/>
      <c r="C758" s="9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</row>
    <row r="759" spans="1:23" x14ac:dyDescent="0.2">
      <c r="A759" s="7"/>
      <c r="B759" s="7"/>
      <c r="C759" s="9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</row>
    <row r="760" spans="1:23" x14ac:dyDescent="0.2">
      <c r="A760" s="7"/>
      <c r="B760" s="7"/>
      <c r="C760" s="9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</row>
    <row r="761" spans="1:23" x14ac:dyDescent="0.2">
      <c r="A761" s="7"/>
      <c r="B761" s="7"/>
      <c r="C761" s="9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</row>
    <row r="762" spans="1:23" x14ac:dyDescent="0.2">
      <c r="A762" s="7"/>
      <c r="B762" s="7"/>
      <c r="C762" s="9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</row>
    <row r="763" spans="1:23" x14ac:dyDescent="0.2">
      <c r="A763" s="7"/>
      <c r="B763" s="7"/>
      <c r="C763" s="9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</row>
    <row r="764" spans="1:23" x14ac:dyDescent="0.2">
      <c r="A764" s="7"/>
      <c r="B764" s="7"/>
      <c r="C764" s="9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</row>
    <row r="765" spans="1:23" x14ac:dyDescent="0.2">
      <c r="A765" s="7"/>
      <c r="B765" s="7"/>
      <c r="C765" s="9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</row>
    <row r="766" spans="1:23" x14ac:dyDescent="0.2">
      <c r="A766" s="7"/>
      <c r="B766" s="7"/>
      <c r="C766" s="9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</row>
    <row r="767" spans="1:23" x14ac:dyDescent="0.2">
      <c r="A767" s="7"/>
      <c r="B767" s="7"/>
      <c r="C767" s="9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</row>
    <row r="768" spans="1:23" x14ac:dyDescent="0.2">
      <c r="A768" s="7"/>
      <c r="B768" s="7"/>
      <c r="C768" s="9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</row>
    <row r="769" spans="1:23" x14ac:dyDescent="0.2">
      <c r="A769" s="7"/>
      <c r="B769" s="7"/>
      <c r="C769" s="9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</row>
    <row r="770" spans="1:23" x14ac:dyDescent="0.2">
      <c r="A770" s="7"/>
      <c r="B770" s="7"/>
      <c r="C770" s="9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</row>
    <row r="771" spans="1:23" x14ac:dyDescent="0.2">
      <c r="A771" s="7"/>
      <c r="B771" s="7"/>
      <c r="C771" s="9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</row>
    <row r="772" spans="1:23" x14ac:dyDescent="0.2">
      <c r="A772" s="7"/>
      <c r="B772" s="7"/>
      <c r="C772" s="9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</row>
    <row r="773" spans="1:23" x14ac:dyDescent="0.2">
      <c r="A773" s="7"/>
      <c r="B773" s="7"/>
      <c r="C773" s="9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</row>
    <row r="774" spans="1:23" x14ac:dyDescent="0.2">
      <c r="A774" s="7"/>
      <c r="B774" s="7"/>
      <c r="C774" s="9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</row>
    <row r="775" spans="1:23" x14ac:dyDescent="0.2">
      <c r="A775" s="7"/>
      <c r="B775" s="7"/>
      <c r="C775" s="9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</row>
    <row r="776" spans="1:23" x14ac:dyDescent="0.2">
      <c r="A776" s="7"/>
      <c r="B776" s="7"/>
      <c r="C776" s="9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</row>
    <row r="777" spans="1:23" x14ac:dyDescent="0.2">
      <c r="A777" s="7"/>
      <c r="B777" s="7"/>
      <c r="C777" s="9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</row>
    <row r="778" spans="1:23" x14ac:dyDescent="0.2">
      <c r="A778" s="7"/>
      <c r="B778" s="7"/>
      <c r="C778" s="9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</row>
    <row r="779" spans="1:23" x14ac:dyDescent="0.2">
      <c r="A779" s="7"/>
      <c r="B779" s="7"/>
      <c r="C779" s="9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</row>
    <row r="780" spans="1:23" x14ac:dyDescent="0.2">
      <c r="A780" s="7"/>
      <c r="B780" s="7"/>
      <c r="C780" s="9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</row>
    <row r="781" spans="1:23" x14ac:dyDescent="0.2">
      <c r="A781" s="7"/>
      <c r="B781" s="7"/>
      <c r="C781" s="9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</row>
    <row r="782" spans="1:23" x14ac:dyDescent="0.2">
      <c r="A782" s="7"/>
      <c r="B782" s="7"/>
      <c r="C782" s="9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</row>
    <row r="783" spans="1:23" x14ac:dyDescent="0.2">
      <c r="A783" s="7"/>
      <c r="B783" s="7"/>
      <c r="C783" s="9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</row>
    <row r="784" spans="1:23" x14ac:dyDescent="0.2">
      <c r="A784" s="7"/>
      <c r="B784" s="7"/>
      <c r="C784" s="9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</row>
    <row r="785" spans="1:23" x14ac:dyDescent="0.2">
      <c r="A785" s="7"/>
      <c r="B785" s="7"/>
      <c r="C785" s="9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</row>
    <row r="786" spans="1:23" x14ac:dyDescent="0.2">
      <c r="A786" s="7"/>
      <c r="B786" s="7"/>
      <c r="C786" s="9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</row>
    <row r="787" spans="1:23" x14ac:dyDescent="0.2">
      <c r="A787" s="7"/>
      <c r="B787" s="7"/>
      <c r="C787" s="9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</row>
    <row r="788" spans="1:23" x14ac:dyDescent="0.2">
      <c r="A788" s="7"/>
      <c r="B788" s="7"/>
      <c r="C788" s="9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</row>
    <row r="789" spans="1:23" x14ac:dyDescent="0.2">
      <c r="A789" s="7"/>
      <c r="B789" s="7"/>
      <c r="C789" s="9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</row>
    <row r="790" spans="1:23" x14ac:dyDescent="0.2">
      <c r="A790" s="7"/>
      <c r="B790" s="7"/>
      <c r="C790" s="9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</row>
    <row r="791" spans="1:23" x14ac:dyDescent="0.2">
      <c r="A791" s="7"/>
      <c r="B791" s="7"/>
      <c r="C791" s="9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</row>
    <row r="792" spans="1:23" x14ac:dyDescent="0.2">
      <c r="A792" s="7"/>
      <c r="B792" s="7"/>
      <c r="C792" s="9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</row>
    <row r="793" spans="1:23" x14ac:dyDescent="0.2">
      <c r="A793" s="7"/>
      <c r="B793" s="7"/>
      <c r="C793" s="9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</row>
    <row r="794" spans="1:23" x14ac:dyDescent="0.2">
      <c r="A794" s="7"/>
      <c r="B794" s="7"/>
      <c r="C794" s="9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</row>
    <row r="795" spans="1:23" x14ac:dyDescent="0.2">
      <c r="A795" s="7"/>
      <c r="B795" s="7"/>
      <c r="C795" s="9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</row>
    <row r="796" spans="1:23" x14ac:dyDescent="0.2">
      <c r="A796" s="7"/>
      <c r="B796" s="7"/>
      <c r="C796" s="9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</row>
    <row r="797" spans="1:23" x14ac:dyDescent="0.2">
      <c r="A797" s="7"/>
      <c r="B797" s="7"/>
      <c r="C797" s="9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</row>
    <row r="798" spans="1:23" x14ac:dyDescent="0.2">
      <c r="A798" s="7"/>
      <c r="B798" s="7"/>
      <c r="C798" s="9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</row>
    <row r="799" spans="1:23" x14ac:dyDescent="0.2">
      <c r="A799" s="7"/>
      <c r="B799" s="7"/>
      <c r="C799" s="9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</row>
    <row r="800" spans="1:23" x14ac:dyDescent="0.2">
      <c r="A800" s="7"/>
      <c r="B800" s="7"/>
      <c r="C800" s="9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</row>
    <row r="801" spans="1:23" x14ac:dyDescent="0.2">
      <c r="A801" s="7"/>
      <c r="B801" s="7"/>
      <c r="C801" s="9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</row>
    <row r="802" spans="1:23" x14ac:dyDescent="0.2">
      <c r="A802" s="7"/>
      <c r="B802" s="7"/>
      <c r="C802" s="9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</row>
    <row r="803" spans="1:23" x14ac:dyDescent="0.2">
      <c r="A803" s="7"/>
      <c r="B803" s="7"/>
      <c r="C803" s="9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</row>
    <row r="804" spans="1:23" x14ac:dyDescent="0.2">
      <c r="A804" s="7"/>
      <c r="B804" s="7"/>
      <c r="C804" s="9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</row>
    <row r="805" spans="1:23" x14ac:dyDescent="0.2">
      <c r="A805" s="7"/>
      <c r="B805" s="7"/>
      <c r="C805" s="9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</row>
    <row r="806" spans="1:23" x14ac:dyDescent="0.2">
      <c r="A806" s="7"/>
      <c r="B806" s="7"/>
      <c r="C806" s="9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</row>
    <row r="807" spans="1:23" x14ac:dyDescent="0.2">
      <c r="A807" s="7"/>
      <c r="B807" s="7"/>
      <c r="C807" s="9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</row>
    <row r="808" spans="1:23" x14ac:dyDescent="0.2">
      <c r="A808" s="7"/>
      <c r="B808" s="7"/>
      <c r="C808" s="9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</row>
    <row r="809" spans="1:23" x14ac:dyDescent="0.2">
      <c r="A809" s="7"/>
      <c r="B809" s="7"/>
      <c r="C809" s="9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</row>
    <row r="810" spans="1:23" x14ac:dyDescent="0.2">
      <c r="A810" s="7"/>
      <c r="B810" s="7"/>
      <c r="C810" s="9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</row>
    <row r="811" spans="1:23" x14ac:dyDescent="0.2">
      <c r="A811" s="7"/>
      <c r="B811" s="7"/>
      <c r="C811" s="9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</row>
    <row r="812" spans="1:23" x14ac:dyDescent="0.2">
      <c r="A812" s="7"/>
      <c r="B812" s="7"/>
      <c r="C812" s="9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</row>
    <row r="813" spans="1:23" x14ac:dyDescent="0.2">
      <c r="A813" s="7"/>
      <c r="B813" s="7"/>
      <c r="C813" s="9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</row>
    <row r="814" spans="1:23" x14ac:dyDescent="0.2">
      <c r="A814" s="7"/>
      <c r="B814" s="7"/>
      <c r="C814" s="9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</row>
    <row r="815" spans="1:23" x14ac:dyDescent="0.2">
      <c r="A815" s="7"/>
      <c r="B815" s="7"/>
      <c r="C815" s="9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</row>
    <row r="816" spans="1:23" x14ac:dyDescent="0.2">
      <c r="A816" s="7"/>
      <c r="B816" s="7"/>
      <c r="C816" s="9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</row>
    <row r="817" spans="1:23" x14ac:dyDescent="0.2">
      <c r="A817" s="7"/>
      <c r="B817" s="7"/>
      <c r="C817" s="9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</row>
    <row r="818" spans="1:23" x14ac:dyDescent="0.2">
      <c r="A818" s="7"/>
      <c r="B818" s="7"/>
      <c r="C818" s="9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</row>
    <row r="819" spans="1:23" x14ac:dyDescent="0.2">
      <c r="A819" s="7"/>
      <c r="B819" s="7"/>
      <c r="C819" s="9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</row>
    <row r="820" spans="1:23" x14ac:dyDescent="0.2">
      <c r="A820" s="7"/>
      <c r="B820" s="7"/>
      <c r="C820" s="9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</row>
    <row r="821" spans="1:23" x14ac:dyDescent="0.2">
      <c r="A821" s="7"/>
      <c r="B821" s="7"/>
      <c r="C821" s="9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</row>
    <row r="822" spans="1:23" x14ac:dyDescent="0.2">
      <c r="A822" s="7"/>
      <c r="B822" s="7"/>
      <c r="C822" s="9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</row>
    <row r="823" spans="1:23" x14ac:dyDescent="0.2">
      <c r="A823" s="7"/>
      <c r="B823" s="7"/>
      <c r="C823" s="9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</row>
    <row r="824" spans="1:23" x14ac:dyDescent="0.2">
      <c r="A824" s="7"/>
      <c r="B824" s="7"/>
      <c r="C824" s="9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</row>
    <row r="825" spans="1:23" x14ac:dyDescent="0.2">
      <c r="A825" s="7"/>
      <c r="B825" s="7"/>
      <c r="C825" s="9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</row>
    <row r="826" spans="1:23" x14ac:dyDescent="0.2">
      <c r="A826" s="7"/>
      <c r="B826" s="7"/>
      <c r="C826" s="9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</row>
    <row r="827" spans="1:23" x14ac:dyDescent="0.2">
      <c r="A827" s="7"/>
      <c r="B827" s="7"/>
      <c r="C827" s="9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</row>
    <row r="828" spans="1:23" x14ac:dyDescent="0.2">
      <c r="A828" s="7"/>
      <c r="B828" s="7"/>
      <c r="C828" s="9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</row>
    <row r="829" spans="1:23" x14ac:dyDescent="0.2">
      <c r="A829" s="7"/>
      <c r="B829" s="7"/>
      <c r="C829" s="9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</row>
    <row r="830" spans="1:23" x14ac:dyDescent="0.2">
      <c r="A830" s="7"/>
      <c r="B830" s="7"/>
      <c r="C830" s="9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</row>
    <row r="831" spans="1:23" x14ac:dyDescent="0.2">
      <c r="A831" s="7"/>
      <c r="B831" s="7"/>
      <c r="C831" s="9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</row>
    <row r="832" spans="1:23" x14ac:dyDescent="0.2">
      <c r="A832" s="7"/>
      <c r="B832" s="7"/>
      <c r="C832" s="9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</row>
    <row r="833" spans="1:23" x14ac:dyDescent="0.2">
      <c r="A833" s="7"/>
      <c r="B833" s="7"/>
      <c r="C833" s="9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</row>
    <row r="834" spans="1:23" x14ac:dyDescent="0.2">
      <c r="A834" s="7"/>
      <c r="B834" s="7"/>
      <c r="C834" s="9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</row>
    <row r="835" spans="1:23" x14ac:dyDescent="0.2">
      <c r="A835" s="7"/>
      <c r="B835" s="7"/>
      <c r="C835" s="9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</row>
    <row r="836" spans="1:23" x14ac:dyDescent="0.2">
      <c r="A836" s="7"/>
      <c r="B836" s="7"/>
      <c r="C836" s="9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</row>
    <row r="837" spans="1:23" x14ac:dyDescent="0.2">
      <c r="A837" s="7"/>
      <c r="B837" s="7"/>
      <c r="C837" s="9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</row>
    <row r="838" spans="1:23" x14ac:dyDescent="0.2">
      <c r="A838" s="7"/>
      <c r="B838" s="7"/>
      <c r="C838" s="9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</row>
    <row r="839" spans="1:23" x14ac:dyDescent="0.2">
      <c r="A839" s="7"/>
      <c r="B839" s="7"/>
      <c r="C839" s="9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</row>
    <row r="840" spans="1:23" x14ac:dyDescent="0.2">
      <c r="A840" s="7"/>
      <c r="B840" s="7"/>
      <c r="C840" s="9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</row>
    <row r="841" spans="1:23" x14ac:dyDescent="0.2">
      <c r="A841" s="7"/>
      <c r="B841" s="7"/>
      <c r="C841" s="9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</row>
    <row r="842" spans="1:23" x14ac:dyDescent="0.2">
      <c r="A842" s="7"/>
      <c r="B842" s="7"/>
      <c r="C842" s="9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</row>
    <row r="843" spans="1:23" x14ac:dyDescent="0.2">
      <c r="A843" s="7"/>
      <c r="B843" s="7"/>
      <c r="C843" s="9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</row>
    <row r="844" spans="1:23" x14ac:dyDescent="0.2">
      <c r="A844" s="7"/>
      <c r="B844" s="7"/>
      <c r="C844" s="9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</row>
    <row r="845" spans="1:23" x14ac:dyDescent="0.2">
      <c r="A845" s="7"/>
      <c r="B845" s="7"/>
      <c r="C845" s="9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</row>
    <row r="846" spans="1:23" x14ac:dyDescent="0.2">
      <c r="A846" s="7"/>
      <c r="B846" s="7"/>
      <c r="C846" s="9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</row>
    <row r="847" spans="1:23" x14ac:dyDescent="0.2">
      <c r="A847" s="7"/>
      <c r="B847" s="7"/>
      <c r="C847" s="9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</row>
    <row r="848" spans="1:23" x14ac:dyDescent="0.2">
      <c r="A848" s="7"/>
      <c r="B848" s="7"/>
      <c r="C848" s="9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</row>
    <row r="849" spans="1:23" x14ac:dyDescent="0.2">
      <c r="A849" s="7"/>
      <c r="B849" s="7"/>
      <c r="C849" s="9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</row>
    <row r="850" spans="1:23" x14ac:dyDescent="0.2">
      <c r="A850" s="7"/>
      <c r="B850" s="7"/>
      <c r="C850" s="9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</row>
    <row r="851" spans="1:23" x14ac:dyDescent="0.2">
      <c r="A851" s="7"/>
      <c r="B851" s="7"/>
      <c r="C851" s="9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</row>
    <row r="852" spans="1:23" x14ac:dyDescent="0.2">
      <c r="A852" s="7"/>
      <c r="B852" s="7"/>
      <c r="C852" s="9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</row>
    <row r="853" spans="1:23" x14ac:dyDescent="0.2">
      <c r="A853" s="7"/>
      <c r="B853" s="7"/>
      <c r="C853" s="9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</row>
    <row r="854" spans="1:23" x14ac:dyDescent="0.2">
      <c r="A854" s="7"/>
      <c r="B854" s="7"/>
      <c r="C854" s="9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</row>
    <row r="855" spans="1:23" x14ac:dyDescent="0.2">
      <c r="A855" s="7"/>
      <c r="B855" s="7"/>
      <c r="C855" s="9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</row>
    <row r="856" spans="1:23" x14ac:dyDescent="0.2">
      <c r="A856" s="7"/>
      <c r="B856" s="7"/>
      <c r="C856" s="9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</row>
    <row r="857" spans="1:23" x14ac:dyDescent="0.2">
      <c r="A857" s="7"/>
      <c r="B857" s="7"/>
      <c r="C857" s="9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</row>
    <row r="858" spans="1:23" x14ac:dyDescent="0.2">
      <c r="A858" s="7"/>
      <c r="B858" s="7"/>
      <c r="C858" s="9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</row>
    <row r="859" spans="1:23" x14ac:dyDescent="0.2">
      <c r="A859" s="7"/>
      <c r="B859" s="7"/>
      <c r="C859" s="9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</row>
    <row r="860" spans="1:23" x14ac:dyDescent="0.2">
      <c r="A860" s="7"/>
      <c r="B860" s="7"/>
      <c r="C860" s="9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</row>
    <row r="861" spans="1:23" x14ac:dyDescent="0.2">
      <c r="A861" s="7"/>
      <c r="B861" s="7"/>
      <c r="C861" s="9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</row>
    <row r="862" spans="1:23" x14ac:dyDescent="0.2">
      <c r="A862" s="7"/>
      <c r="B862" s="7"/>
      <c r="C862" s="9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</row>
    <row r="863" spans="1:23" x14ac:dyDescent="0.2">
      <c r="A863" s="7"/>
      <c r="B863" s="7"/>
      <c r="C863" s="9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</row>
    <row r="864" spans="1:23" x14ac:dyDescent="0.2">
      <c r="A864" s="7"/>
      <c r="B864" s="7"/>
      <c r="C864" s="9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</row>
    <row r="865" spans="1:23" x14ac:dyDescent="0.2">
      <c r="A865" s="7"/>
      <c r="B865" s="7"/>
      <c r="C865" s="9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</row>
    <row r="866" spans="1:23" x14ac:dyDescent="0.2">
      <c r="A866" s="7"/>
      <c r="B866" s="7"/>
      <c r="C866" s="9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</row>
    <row r="867" spans="1:23" x14ac:dyDescent="0.2">
      <c r="A867" s="7"/>
      <c r="B867" s="7"/>
      <c r="C867" s="9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</row>
    <row r="868" spans="1:23" x14ac:dyDescent="0.2">
      <c r="A868" s="7"/>
      <c r="B868" s="7"/>
      <c r="C868" s="9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</row>
    <row r="869" spans="1:23" x14ac:dyDescent="0.2">
      <c r="A869" s="7"/>
      <c r="B869" s="7"/>
      <c r="C869" s="9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</row>
    <row r="870" spans="1:23" x14ac:dyDescent="0.2">
      <c r="A870" s="7"/>
      <c r="B870" s="7"/>
      <c r="C870" s="9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</row>
    <row r="871" spans="1:23" x14ac:dyDescent="0.2">
      <c r="A871" s="7"/>
      <c r="B871" s="7"/>
      <c r="C871" s="9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</row>
    <row r="872" spans="1:23" x14ac:dyDescent="0.2">
      <c r="A872" s="7"/>
      <c r="B872" s="7"/>
      <c r="C872" s="9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</row>
    <row r="873" spans="1:23" x14ac:dyDescent="0.2">
      <c r="A873" s="7"/>
      <c r="B873" s="7"/>
      <c r="C873" s="9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</row>
    <row r="874" spans="1:23" x14ac:dyDescent="0.2">
      <c r="A874" s="7"/>
      <c r="B874" s="7"/>
      <c r="C874" s="9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</row>
    <row r="875" spans="1:23" x14ac:dyDescent="0.2">
      <c r="A875" s="7"/>
      <c r="B875" s="7"/>
      <c r="C875" s="9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</row>
    <row r="876" spans="1:23" x14ac:dyDescent="0.2">
      <c r="A876" s="7"/>
      <c r="B876" s="7"/>
      <c r="C876" s="9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</row>
    <row r="877" spans="1:23" x14ac:dyDescent="0.2">
      <c r="A877" s="7"/>
      <c r="B877" s="7"/>
      <c r="C877" s="9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</row>
    <row r="878" spans="1:23" x14ac:dyDescent="0.2">
      <c r="A878" s="7"/>
      <c r="B878" s="7"/>
      <c r="C878" s="9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</row>
    <row r="879" spans="1:23" x14ac:dyDescent="0.2">
      <c r="A879" s="7"/>
      <c r="B879" s="7"/>
      <c r="C879" s="9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</row>
    <row r="880" spans="1:23" x14ac:dyDescent="0.2">
      <c r="A880" s="7"/>
      <c r="B880" s="7"/>
      <c r="C880" s="9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</row>
    <row r="881" spans="1:23" x14ac:dyDescent="0.2">
      <c r="A881" s="7"/>
      <c r="B881" s="7"/>
      <c r="C881" s="9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</row>
    <row r="882" spans="1:23" x14ac:dyDescent="0.2">
      <c r="A882" s="7"/>
      <c r="B882" s="7"/>
      <c r="C882" s="9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</row>
    <row r="883" spans="1:23" x14ac:dyDescent="0.2">
      <c r="A883" s="7"/>
      <c r="B883" s="7"/>
      <c r="C883" s="9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</row>
    <row r="884" spans="1:23" x14ac:dyDescent="0.2">
      <c r="A884" s="7"/>
      <c r="B884" s="7"/>
      <c r="C884" s="9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</row>
    <row r="885" spans="1:23" x14ac:dyDescent="0.2">
      <c r="A885" s="7"/>
      <c r="B885" s="7"/>
      <c r="C885" s="9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</row>
    <row r="886" spans="1:23" x14ac:dyDescent="0.2">
      <c r="A886" s="7"/>
      <c r="B886" s="7"/>
      <c r="C886" s="9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</row>
    <row r="887" spans="1:23" x14ac:dyDescent="0.2">
      <c r="A887" s="7"/>
      <c r="B887" s="7"/>
      <c r="C887" s="9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</row>
    <row r="888" spans="1:23" x14ac:dyDescent="0.2">
      <c r="A888" s="7"/>
      <c r="B888" s="7"/>
      <c r="C888" s="9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</row>
    <row r="889" spans="1:23" x14ac:dyDescent="0.2">
      <c r="A889" s="7"/>
      <c r="B889" s="7"/>
      <c r="C889" s="9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</row>
    <row r="890" spans="1:23" x14ac:dyDescent="0.2">
      <c r="A890" s="7"/>
      <c r="B890" s="7"/>
      <c r="C890" s="9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</row>
    <row r="891" spans="1:23" x14ac:dyDescent="0.2">
      <c r="A891" s="7"/>
      <c r="B891" s="7"/>
      <c r="C891" s="9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</row>
    <row r="892" spans="1:23" x14ac:dyDescent="0.2">
      <c r="A892" s="7"/>
      <c r="B892" s="7"/>
      <c r="C892" s="9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</row>
    <row r="893" spans="1:23" x14ac:dyDescent="0.2">
      <c r="A893" s="7"/>
      <c r="B893" s="7"/>
      <c r="C893" s="9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</row>
    <row r="894" spans="1:23" x14ac:dyDescent="0.2">
      <c r="A894" s="7"/>
      <c r="B894" s="7"/>
      <c r="C894" s="9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</row>
    <row r="895" spans="1:23" x14ac:dyDescent="0.2">
      <c r="A895" s="7"/>
      <c r="B895" s="7"/>
      <c r="C895" s="9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</row>
    <row r="896" spans="1:23" x14ac:dyDescent="0.2">
      <c r="A896" s="7"/>
      <c r="B896" s="7"/>
      <c r="C896" s="9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</row>
    <row r="897" spans="1:23" x14ac:dyDescent="0.2">
      <c r="A897" s="7"/>
      <c r="B897" s="7"/>
      <c r="C897" s="9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</row>
    <row r="898" spans="1:23" x14ac:dyDescent="0.2">
      <c r="A898" s="7"/>
      <c r="B898" s="7"/>
      <c r="C898" s="9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</row>
    <row r="899" spans="1:23" x14ac:dyDescent="0.2">
      <c r="A899" s="7"/>
      <c r="B899" s="7"/>
      <c r="C899" s="9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</row>
    <row r="900" spans="1:23" x14ac:dyDescent="0.2">
      <c r="A900" s="7"/>
      <c r="B900" s="7"/>
      <c r="C900" s="9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</row>
    <row r="901" spans="1:23" x14ac:dyDescent="0.2">
      <c r="A901" s="7"/>
      <c r="B901" s="7"/>
      <c r="C901" s="9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</row>
    <row r="902" spans="1:23" x14ac:dyDescent="0.2">
      <c r="A902" s="7"/>
      <c r="B902" s="7"/>
      <c r="C902" s="9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</row>
    <row r="903" spans="1:23" x14ac:dyDescent="0.2">
      <c r="A903" s="7"/>
      <c r="B903" s="7"/>
      <c r="C903" s="9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</row>
    <row r="904" spans="1:23" x14ac:dyDescent="0.2">
      <c r="A904" s="7"/>
      <c r="B904" s="7"/>
      <c r="C904" s="9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</row>
    <row r="905" spans="1:23" x14ac:dyDescent="0.2">
      <c r="A905" s="7"/>
      <c r="B905" s="7"/>
      <c r="C905" s="9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</row>
    <row r="906" spans="1:23" x14ac:dyDescent="0.2">
      <c r="A906" s="7"/>
      <c r="B906" s="7"/>
      <c r="C906" s="9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</row>
    <row r="907" spans="1:23" x14ac:dyDescent="0.2">
      <c r="A907" s="7"/>
      <c r="B907" s="7"/>
      <c r="C907" s="9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</row>
    <row r="908" spans="1:23" x14ac:dyDescent="0.2">
      <c r="A908" s="7"/>
      <c r="B908" s="7"/>
      <c r="C908" s="9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</row>
    <row r="909" spans="1:23" x14ac:dyDescent="0.2">
      <c r="A909" s="7"/>
      <c r="B909" s="7"/>
      <c r="C909" s="9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</row>
    <row r="910" spans="1:23" x14ac:dyDescent="0.2">
      <c r="A910" s="7"/>
      <c r="B910" s="7"/>
      <c r="C910" s="9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</row>
    <row r="911" spans="1:23" x14ac:dyDescent="0.2">
      <c r="A911" s="7"/>
      <c r="B911" s="7"/>
      <c r="C911" s="9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</row>
    <row r="912" spans="1:23" x14ac:dyDescent="0.2">
      <c r="A912" s="7"/>
      <c r="B912" s="7"/>
      <c r="C912" s="9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</row>
    <row r="913" spans="1:23" x14ac:dyDescent="0.2">
      <c r="A913" s="7"/>
      <c r="B913" s="7"/>
      <c r="C913" s="9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</row>
    <row r="914" spans="1:23" x14ac:dyDescent="0.2">
      <c r="A914" s="7"/>
      <c r="B914" s="7"/>
      <c r="C914" s="9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</row>
    <row r="915" spans="1:23" x14ac:dyDescent="0.2">
      <c r="A915" s="7"/>
      <c r="B915" s="7"/>
      <c r="C915" s="9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</row>
    <row r="916" spans="1:23" x14ac:dyDescent="0.2">
      <c r="A916" s="7"/>
      <c r="B916" s="7"/>
      <c r="C916" s="9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</row>
    <row r="917" spans="1:23" x14ac:dyDescent="0.2">
      <c r="A917" s="7"/>
      <c r="B917" s="7"/>
      <c r="C917" s="9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</row>
    <row r="918" spans="1:23" x14ac:dyDescent="0.2">
      <c r="A918" s="7"/>
      <c r="B918" s="7"/>
      <c r="C918" s="9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</row>
    <row r="919" spans="1:23" x14ac:dyDescent="0.2">
      <c r="A919" s="7"/>
      <c r="B919" s="7"/>
      <c r="C919" s="9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</row>
    <row r="920" spans="1:23" x14ac:dyDescent="0.2">
      <c r="A920" s="7"/>
      <c r="B920" s="7"/>
      <c r="C920" s="9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</row>
    <row r="921" spans="1:23" x14ac:dyDescent="0.2">
      <c r="A921" s="7"/>
      <c r="B921" s="7"/>
      <c r="C921" s="9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</row>
    <row r="922" spans="1:23" x14ac:dyDescent="0.2">
      <c r="A922" s="7"/>
      <c r="B922" s="7"/>
      <c r="C922" s="9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</row>
    <row r="923" spans="1:23" x14ac:dyDescent="0.2">
      <c r="A923" s="7"/>
      <c r="B923" s="7"/>
      <c r="C923" s="9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</row>
    <row r="924" spans="1:23" x14ac:dyDescent="0.2">
      <c r="A924" s="7"/>
      <c r="B924" s="7"/>
      <c r="C924" s="9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</row>
    <row r="925" spans="1:23" x14ac:dyDescent="0.2">
      <c r="A925" s="7"/>
      <c r="B925" s="7"/>
      <c r="C925" s="9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</row>
    <row r="926" spans="1:23" x14ac:dyDescent="0.2">
      <c r="A926" s="7"/>
      <c r="B926" s="7"/>
      <c r="C926" s="9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</row>
    <row r="927" spans="1:23" x14ac:dyDescent="0.2">
      <c r="A927" s="7"/>
      <c r="B927" s="7"/>
      <c r="C927" s="9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</row>
    <row r="928" spans="1:23" x14ac:dyDescent="0.2">
      <c r="A928" s="7"/>
      <c r="B928" s="7"/>
      <c r="C928" s="9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</row>
    <row r="929" spans="1:23" x14ac:dyDescent="0.2">
      <c r="A929" s="7"/>
      <c r="B929" s="7"/>
      <c r="C929" s="9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</row>
    <row r="930" spans="1:23" x14ac:dyDescent="0.2">
      <c r="A930" s="7"/>
      <c r="B930" s="7"/>
      <c r="C930" s="9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</row>
    <row r="931" spans="1:23" x14ac:dyDescent="0.2">
      <c r="A931" s="7"/>
      <c r="B931" s="7"/>
      <c r="C931" s="9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</row>
    <row r="932" spans="1:23" x14ac:dyDescent="0.2">
      <c r="A932" s="7"/>
      <c r="B932" s="7"/>
      <c r="C932" s="9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</row>
    <row r="933" spans="1:23" x14ac:dyDescent="0.2">
      <c r="A933" s="7"/>
      <c r="B933" s="7"/>
      <c r="C933" s="9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</row>
    <row r="934" spans="1:23" x14ac:dyDescent="0.2">
      <c r="A934" s="7"/>
      <c r="B934" s="7"/>
      <c r="C934" s="9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</row>
    <row r="935" spans="1:23" x14ac:dyDescent="0.2">
      <c r="A935" s="7"/>
      <c r="B935" s="7"/>
      <c r="C935" s="9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</row>
    <row r="936" spans="1:23" x14ac:dyDescent="0.2">
      <c r="A936" s="7"/>
      <c r="B936" s="7"/>
      <c r="C936" s="9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</row>
    <row r="937" spans="1:23" x14ac:dyDescent="0.2">
      <c r="A937" s="7"/>
      <c r="B937" s="7"/>
      <c r="C937" s="9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</row>
    <row r="938" spans="1:23" x14ac:dyDescent="0.2">
      <c r="A938" s="7"/>
      <c r="B938" s="7"/>
      <c r="C938" s="9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</row>
    <row r="939" spans="1:23" x14ac:dyDescent="0.2">
      <c r="A939" s="7"/>
      <c r="B939" s="7"/>
      <c r="C939" s="9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</row>
    <row r="940" spans="1:23" x14ac:dyDescent="0.2">
      <c r="A940" s="7"/>
      <c r="B940" s="7"/>
      <c r="C940" s="9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</row>
    <row r="941" spans="1:23" x14ac:dyDescent="0.2">
      <c r="A941" s="7"/>
      <c r="B941" s="7"/>
      <c r="C941" s="9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</row>
    <row r="942" spans="1:23" x14ac:dyDescent="0.2">
      <c r="A942" s="7"/>
      <c r="B942" s="7"/>
      <c r="C942" s="9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</row>
    <row r="943" spans="1:23" x14ac:dyDescent="0.2">
      <c r="A943" s="7"/>
      <c r="B943" s="7"/>
      <c r="C943" s="9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</row>
    <row r="944" spans="1:23" x14ac:dyDescent="0.2">
      <c r="A944" s="7"/>
      <c r="B944" s="7"/>
      <c r="C944" s="9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</row>
    <row r="945" spans="1:23" x14ac:dyDescent="0.2">
      <c r="A945" s="7"/>
      <c r="B945" s="7"/>
      <c r="C945" s="9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</row>
    <row r="946" spans="1:23" x14ac:dyDescent="0.2">
      <c r="A946" s="7"/>
      <c r="B946" s="7"/>
      <c r="C946" s="9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</row>
    <row r="947" spans="1:23" x14ac:dyDescent="0.2">
      <c r="A947" s="7"/>
      <c r="B947" s="7"/>
      <c r="C947" s="9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</row>
    <row r="948" spans="1:23" x14ac:dyDescent="0.2">
      <c r="A948" s="7"/>
      <c r="B948" s="7"/>
      <c r="C948" s="9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</row>
    <row r="949" spans="1:23" x14ac:dyDescent="0.2">
      <c r="A949" s="7"/>
      <c r="B949" s="7"/>
      <c r="C949" s="9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</row>
    <row r="950" spans="1:23" x14ac:dyDescent="0.2">
      <c r="A950" s="7"/>
      <c r="B950" s="7"/>
      <c r="C950" s="9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</row>
    <row r="951" spans="1:23" x14ac:dyDescent="0.2">
      <c r="A951" s="7"/>
      <c r="B951" s="7"/>
      <c r="C951" s="9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</row>
    <row r="952" spans="1:23" x14ac:dyDescent="0.2">
      <c r="A952" s="7"/>
      <c r="B952" s="7"/>
      <c r="C952" s="9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</row>
    <row r="953" spans="1:23" x14ac:dyDescent="0.2">
      <c r="A953" s="7"/>
      <c r="B953" s="7"/>
      <c r="C953" s="9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</row>
    <row r="954" spans="1:23" x14ac:dyDescent="0.2">
      <c r="A954" s="7"/>
      <c r="B954" s="7"/>
      <c r="C954" s="9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</row>
    <row r="955" spans="1:23" x14ac:dyDescent="0.2">
      <c r="A955" s="7"/>
      <c r="B955" s="7"/>
      <c r="C955" s="9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</row>
    <row r="956" spans="1:23" x14ac:dyDescent="0.2">
      <c r="A956" s="7"/>
      <c r="B956" s="7"/>
      <c r="C956" s="9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</row>
    <row r="957" spans="1:23" x14ac:dyDescent="0.2">
      <c r="A957" s="7"/>
      <c r="B957" s="7"/>
      <c r="C957" s="9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</row>
    <row r="958" spans="1:23" x14ac:dyDescent="0.2">
      <c r="A958" s="7"/>
      <c r="B958" s="7"/>
      <c r="C958" s="9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</row>
    <row r="959" spans="1:23" x14ac:dyDescent="0.2">
      <c r="A959" s="7"/>
      <c r="B959" s="7"/>
      <c r="C959" s="9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</row>
    <row r="960" spans="1:23" x14ac:dyDescent="0.2">
      <c r="A960" s="7"/>
      <c r="B960" s="7"/>
      <c r="C960" s="9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</row>
    <row r="961" spans="1:23" x14ac:dyDescent="0.2">
      <c r="A961" s="7"/>
      <c r="B961" s="7"/>
      <c r="C961" s="9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</row>
    <row r="962" spans="1:23" x14ac:dyDescent="0.2">
      <c r="A962" s="7"/>
      <c r="B962" s="7"/>
      <c r="C962" s="9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</row>
    <row r="963" spans="1:23" x14ac:dyDescent="0.2">
      <c r="A963" s="7"/>
      <c r="B963" s="7"/>
      <c r="C963" s="9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</row>
    <row r="964" spans="1:23" x14ac:dyDescent="0.2">
      <c r="A964" s="7"/>
      <c r="B964" s="7"/>
      <c r="C964" s="9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</row>
    <row r="965" spans="1:23" x14ac:dyDescent="0.2">
      <c r="A965" s="7"/>
      <c r="B965" s="7"/>
      <c r="C965" s="9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</row>
    <row r="966" spans="1:23" x14ac:dyDescent="0.2">
      <c r="A966" s="7"/>
      <c r="B966" s="7"/>
      <c r="C966" s="9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</row>
    <row r="967" spans="1:23" x14ac:dyDescent="0.2">
      <c r="A967" s="7"/>
      <c r="B967" s="7"/>
      <c r="C967" s="9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</row>
    <row r="968" spans="1:23" x14ac:dyDescent="0.2">
      <c r="A968" s="7"/>
      <c r="B968" s="7"/>
      <c r="C968" s="9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</row>
    <row r="969" spans="1:23" x14ac:dyDescent="0.2">
      <c r="A969" s="7"/>
      <c r="B969" s="7"/>
      <c r="C969" s="9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</row>
    <row r="970" spans="1:23" x14ac:dyDescent="0.2">
      <c r="A970" s="7"/>
      <c r="B970" s="7"/>
      <c r="C970" s="9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</row>
    <row r="971" spans="1:23" x14ac:dyDescent="0.2">
      <c r="A971" s="7"/>
      <c r="B971" s="7"/>
      <c r="C971" s="9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</row>
    <row r="972" spans="1:23" x14ac:dyDescent="0.2">
      <c r="A972" s="7"/>
      <c r="B972" s="7"/>
      <c r="C972" s="9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</row>
    <row r="973" spans="1:23" x14ac:dyDescent="0.2">
      <c r="A973" s="7"/>
      <c r="B973" s="7"/>
      <c r="C973" s="9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</row>
  </sheetData>
  <mergeCells count="1">
    <mergeCell ref="A1:F1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DATA_Listes!$A$82:$A$83</xm:f>
          </x14:formula1>
          <xm:sqref>F3:F8 F10:F15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67"/>
  <sheetViews>
    <sheetView showGridLines="0" topLeftCell="A13" workbookViewId="0">
      <selection activeCell="A53" sqref="A53"/>
    </sheetView>
  </sheetViews>
  <sheetFormatPr baseColWidth="10" defaultColWidth="14.42578125" defaultRowHeight="12.75" x14ac:dyDescent="0.2"/>
  <cols>
    <col min="1" max="1" width="71" bestFit="1" customWidth="1"/>
    <col min="2" max="2" width="65.140625" customWidth="1"/>
    <col min="3" max="3" width="82.42578125" customWidth="1"/>
    <col min="4" max="4" width="12" customWidth="1"/>
    <col min="5" max="5" width="18.7109375" customWidth="1"/>
    <col min="6" max="6" width="41.42578125" customWidth="1"/>
    <col min="7" max="7" width="33.28515625" customWidth="1"/>
    <col min="8" max="8" width="22" customWidth="1"/>
    <col min="10" max="10" width="17.42578125" customWidth="1"/>
    <col min="12" max="12" width="12" customWidth="1"/>
    <col min="16" max="16" width="12" customWidth="1"/>
  </cols>
  <sheetData>
    <row r="1" spans="1:7" s="113" customFormat="1" x14ac:dyDescent="0.2"/>
    <row r="2" spans="1:7" ht="18.75" x14ac:dyDescent="0.3">
      <c r="A2" s="178" t="s">
        <v>118</v>
      </c>
      <c r="B2" s="179"/>
      <c r="C2" s="180"/>
    </row>
    <row r="3" spans="1:7" ht="15" x14ac:dyDescent="0.25">
      <c r="A3" s="176" t="s">
        <v>119</v>
      </c>
      <c r="B3" s="177"/>
      <c r="C3" s="177"/>
    </row>
    <row r="4" spans="1:7" ht="15" x14ac:dyDescent="0.25">
      <c r="A4" s="16" t="s">
        <v>1</v>
      </c>
      <c r="B4" s="16" t="s">
        <v>2</v>
      </c>
      <c r="C4" s="16" t="s">
        <v>3</v>
      </c>
      <c r="G4" s="17"/>
    </row>
    <row r="5" spans="1:7" ht="15" x14ac:dyDescent="0.25">
      <c r="A5" s="18" t="s">
        <v>120</v>
      </c>
      <c r="B5" s="19" t="s">
        <v>121</v>
      </c>
      <c r="C5" s="20"/>
      <c r="G5" s="17"/>
    </row>
    <row r="6" spans="1:7" ht="15" x14ac:dyDescent="0.25">
      <c r="A6" s="21" t="s">
        <v>122</v>
      </c>
      <c r="C6" s="22"/>
      <c r="G6" s="17"/>
    </row>
    <row r="7" spans="1:7" ht="15" x14ac:dyDescent="0.25">
      <c r="A7" s="18" t="s">
        <v>123</v>
      </c>
      <c r="B7" s="19" t="s">
        <v>124</v>
      </c>
      <c r="C7" s="23"/>
      <c r="G7" s="17"/>
    </row>
    <row r="8" spans="1:7" ht="15" x14ac:dyDescent="0.25">
      <c r="A8" s="21" t="s">
        <v>125</v>
      </c>
      <c r="C8" s="22"/>
      <c r="G8" s="17"/>
    </row>
    <row r="9" spans="1:7" ht="15" x14ac:dyDescent="0.25">
      <c r="A9" s="18" t="s">
        <v>126</v>
      </c>
      <c r="B9" s="24">
        <v>20</v>
      </c>
      <c r="C9" s="18" t="s">
        <v>127</v>
      </c>
    </row>
    <row r="10" spans="1:7" ht="15" x14ac:dyDescent="0.25">
      <c r="A10" s="176" t="s">
        <v>128</v>
      </c>
      <c r="B10" s="177"/>
      <c r="C10" s="177"/>
    </row>
    <row r="11" spans="1:7" ht="15" x14ac:dyDescent="0.25">
      <c r="A11" s="16" t="s">
        <v>1</v>
      </c>
      <c r="B11" s="16" t="s">
        <v>2</v>
      </c>
      <c r="C11" s="16" t="s">
        <v>3</v>
      </c>
    </row>
    <row r="12" spans="1:7" ht="15" x14ac:dyDescent="0.25">
      <c r="A12" s="21" t="s">
        <v>120</v>
      </c>
      <c r="B12" s="25" t="s">
        <v>129</v>
      </c>
      <c r="C12" s="22"/>
    </row>
    <row r="13" spans="1:7" ht="15" x14ac:dyDescent="0.25">
      <c r="A13" s="18" t="s">
        <v>122</v>
      </c>
      <c r="B13" s="23"/>
      <c r="C13" s="23"/>
    </row>
    <row r="14" spans="1:7" ht="15" x14ac:dyDescent="0.25">
      <c r="A14" s="21" t="s">
        <v>125</v>
      </c>
      <c r="C14" s="22"/>
    </row>
    <row r="15" spans="1:7" ht="15" x14ac:dyDescent="0.25">
      <c r="A15" s="18" t="s">
        <v>126</v>
      </c>
      <c r="B15" s="24">
        <v>90</v>
      </c>
      <c r="C15" s="18" t="s">
        <v>127</v>
      </c>
    </row>
    <row r="16" spans="1:7" ht="15" x14ac:dyDescent="0.25">
      <c r="A16" s="176" t="s">
        <v>130</v>
      </c>
      <c r="B16" s="177"/>
      <c r="C16" s="177"/>
    </row>
    <row r="17" spans="1:3" ht="15" x14ac:dyDescent="0.25">
      <c r="A17" s="16" t="s">
        <v>1</v>
      </c>
      <c r="B17" s="16" t="s">
        <v>2</v>
      </c>
      <c r="C17" s="16" t="s">
        <v>3</v>
      </c>
    </row>
    <row r="18" spans="1:3" ht="15" x14ac:dyDescent="0.25">
      <c r="A18" s="21" t="s">
        <v>120</v>
      </c>
      <c r="B18" s="25" t="s">
        <v>22</v>
      </c>
      <c r="C18" s="22"/>
    </row>
    <row r="19" spans="1:3" ht="15" x14ac:dyDescent="0.25">
      <c r="A19" s="26" t="s">
        <v>122</v>
      </c>
      <c r="B19" s="23"/>
      <c r="C19" s="23"/>
    </row>
    <row r="20" spans="1:3" ht="15" x14ac:dyDescent="0.25">
      <c r="A20" s="27" t="s">
        <v>125</v>
      </c>
      <c r="C20" s="22"/>
    </row>
    <row r="21" spans="1:3" ht="15" x14ac:dyDescent="0.25">
      <c r="A21" s="26" t="s">
        <v>126</v>
      </c>
      <c r="B21" s="24">
        <v>76</v>
      </c>
      <c r="C21" s="18" t="s">
        <v>127</v>
      </c>
    </row>
    <row r="22" spans="1:3" ht="15" x14ac:dyDescent="0.25">
      <c r="A22" s="176" t="s">
        <v>131</v>
      </c>
      <c r="B22" s="177"/>
      <c r="C22" s="177"/>
    </row>
    <row r="23" spans="1:3" ht="15" x14ac:dyDescent="0.25">
      <c r="A23" s="16" t="s">
        <v>1</v>
      </c>
      <c r="B23" s="16" t="s">
        <v>2</v>
      </c>
      <c r="C23" s="16" t="s">
        <v>3</v>
      </c>
    </row>
    <row r="24" spans="1:3" ht="15" x14ac:dyDescent="0.25">
      <c r="A24" s="21" t="s">
        <v>120</v>
      </c>
      <c r="B24" s="25" t="s">
        <v>129</v>
      </c>
      <c r="C24" s="22"/>
    </row>
    <row r="25" spans="1:3" ht="15" x14ac:dyDescent="0.25">
      <c r="A25" s="26" t="s">
        <v>122</v>
      </c>
      <c r="B25" s="23"/>
      <c r="C25" s="23"/>
    </row>
    <row r="26" spans="1:3" ht="15" x14ac:dyDescent="0.25">
      <c r="A26" s="27" t="s">
        <v>125</v>
      </c>
      <c r="C26" s="22"/>
    </row>
    <row r="27" spans="1:3" ht="15" x14ac:dyDescent="0.25">
      <c r="A27" s="26" t="s">
        <v>126</v>
      </c>
      <c r="B27" s="24">
        <v>87</v>
      </c>
      <c r="C27" s="18" t="s">
        <v>127</v>
      </c>
    </row>
    <row r="28" spans="1:3" ht="15" x14ac:dyDescent="0.25">
      <c r="A28" s="176" t="s">
        <v>132</v>
      </c>
      <c r="B28" s="177"/>
      <c r="C28" s="177"/>
    </row>
    <row r="29" spans="1:3" ht="15" x14ac:dyDescent="0.25">
      <c r="A29" s="16" t="s">
        <v>1</v>
      </c>
      <c r="B29" s="16" t="s">
        <v>2</v>
      </c>
      <c r="C29" s="16" t="s">
        <v>3</v>
      </c>
    </row>
    <row r="30" spans="1:3" ht="15" x14ac:dyDescent="0.25">
      <c r="A30" s="21" t="s">
        <v>120</v>
      </c>
      <c r="B30" s="25" t="s">
        <v>133</v>
      </c>
      <c r="C30" s="22"/>
    </row>
    <row r="31" spans="1:3" ht="15" x14ac:dyDescent="0.25">
      <c r="A31" s="26" t="s">
        <v>122</v>
      </c>
      <c r="B31" s="23"/>
      <c r="C31" s="23"/>
    </row>
    <row r="32" spans="1:3" ht="15" x14ac:dyDescent="0.25">
      <c r="A32" s="27" t="s">
        <v>125</v>
      </c>
      <c r="C32" s="22"/>
    </row>
    <row r="33" spans="1:3" ht="15" x14ac:dyDescent="0.25">
      <c r="A33" s="26" t="s">
        <v>126</v>
      </c>
      <c r="B33" s="24">
        <v>20</v>
      </c>
      <c r="C33" s="18" t="s">
        <v>127</v>
      </c>
    </row>
    <row r="34" spans="1:3" ht="15" x14ac:dyDescent="0.25">
      <c r="A34" s="176" t="s">
        <v>134</v>
      </c>
      <c r="B34" s="177"/>
      <c r="C34" s="177"/>
    </row>
    <row r="35" spans="1:3" ht="15" x14ac:dyDescent="0.25">
      <c r="A35" s="16" t="s">
        <v>1</v>
      </c>
      <c r="B35" s="16" t="s">
        <v>2</v>
      </c>
      <c r="C35" s="16" t="s">
        <v>3</v>
      </c>
    </row>
    <row r="36" spans="1:3" ht="15" x14ac:dyDescent="0.25">
      <c r="A36" s="21" t="s">
        <v>120</v>
      </c>
      <c r="B36" s="25" t="s">
        <v>135</v>
      </c>
      <c r="C36" s="22"/>
    </row>
    <row r="37" spans="1:3" ht="15" x14ac:dyDescent="0.25">
      <c r="A37" s="26" t="s">
        <v>122</v>
      </c>
      <c r="B37" s="23"/>
      <c r="C37" s="23"/>
    </row>
    <row r="38" spans="1:3" ht="15" x14ac:dyDescent="0.25">
      <c r="A38" s="27" t="s">
        <v>125</v>
      </c>
      <c r="C38" s="22"/>
    </row>
    <row r="39" spans="1:3" ht="15" x14ac:dyDescent="0.25">
      <c r="A39" s="26" t="s">
        <v>126</v>
      </c>
      <c r="B39" s="24">
        <v>40</v>
      </c>
      <c r="C39" s="18" t="s">
        <v>127</v>
      </c>
    </row>
    <row r="40" spans="1:3" ht="15" x14ac:dyDescent="0.25">
      <c r="A40" s="176" t="s">
        <v>136</v>
      </c>
      <c r="B40" s="177"/>
      <c r="C40" s="177"/>
    </row>
    <row r="41" spans="1:3" ht="15" x14ac:dyDescent="0.25">
      <c r="A41" s="16" t="s">
        <v>1</v>
      </c>
      <c r="B41" s="16" t="s">
        <v>2</v>
      </c>
      <c r="C41" s="16" t="s">
        <v>3</v>
      </c>
    </row>
    <row r="42" spans="1:3" ht="15" x14ac:dyDescent="0.25">
      <c r="A42" s="21" t="s">
        <v>120</v>
      </c>
      <c r="B42" s="25" t="s">
        <v>129</v>
      </c>
      <c r="C42" s="22"/>
    </row>
    <row r="43" spans="1:3" ht="15" x14ac:dyDescent="0.25">
      <c r="A43" s="26" t="s">
        <v>122</v>
      </c>
      <c r="B43" s="23"/>
      <c r="C43" s="23"/>
    </row>
    <row r="44" spans="1:3" ht="15" x14ac:dyDescent="0.25">
      <c r="A44" s="27" t="s">
        <v>125</v>
      </c>
      <c r="C44" s="22"/>
    </row>
    <row r="45" spans="1:3" ht="15" x14ac:dyDescent="0.25">
      <c r="A45" s="26" t="s">
        <v>126</v>
      </c>
      <c r="B45" s="24">
        <v>44</v>
      </c>
      <c r="C45" s="18" t="s">
        <v>127</v>
      </c>
    </row>
    <row r="46" spans="1:3" ht="15" x14ac:dyDescent="0.25">
      <c r="A46" s="176" t="s">
        <v>137</v>
      </c>
      <c r="B46" s="177"/>
      <c r="C46" s="177"/>
    </row>
    <row r="47" spans="1:3" ht="15" x14ac:dyDescent="0.25">
      <c r="A47" s="16" t="s">
        <v>1</v>
      </c>
      <c r="B47" s="16" t="s">
        <v>2</v>
      </c>
      <c r="C47" s="16" t="s">
        <v>3</v>
      </c>
    </row>
    <row r="48" spans="1:3" ht="15" x14ac:dyDescent="0.25">
      <c r="A48" s="21" t="s">
        <v>120</v>
      </c>
      <c r="B48" s="25" t="s">
        <v>129</v>
      </c>
      <c r="C48" s="22"/>
    </row>
    <row r="49" spans="1:5" ht="15" x14ac:dyDescent="0.25">
      <c r="A49" s="26" t="s">
        <v>122</v>
      </c>
      <c r="B49" s="23"/>
      <c r="C49" s="23"/>
    </row>
    <row r="50" spans="1:5" ht="15" x14ac:dyDescent="0.25">
      <c r="A50" s="27" t="s">
        <v>125</v>
      </c>
      <c r="C50" s="28" t="s">
        <v>138</v>
      </c>
    </row>
    <row r="51" spans="1:5" ht="15" x14ac:dyDescent="0.25">
      <c r="A51" s="26" t="s">
        <v>126</v>
      </c>
      <c r="B51" s="24">
        <v>56</v>
      </c>
      <c r="C51" s="18" t="s">
        <v>127</v>
      </c>
      <c r="E51" s="29"/>
    </row>
    <row r="52" spans="1:5" ht="15" x14ac:dyDescent="0.25">
      <c r="A52" s="176" t="s">
        <v>139</v>
      </c>
      <c r="B52" s="177"/>
      <c r="C52" s="177"/>
    </row>
    <row r="53" spans="1:5" ht="15" x14ac:dyDescent="0.25">
      <c r="A53" s="16" t="s">
        <v>1</v>
      </c>
      <c r="B53" s="16" t="s">
        <v>2</v>
      </c>
      <c r="C53" s="16" t="s">
        <v>3</v>
      </c>
    </row>
    <row r="54" spans="1:5" ht="15" x14ac:dyDescent="0.25">
      <c r="A54" s="21" t="s">
        <v>120</v>
      </c>
      <c r="B54" s="25" t="s">
        <v>129</v>
      </c>
      <c r="C54" s="22"/>
    </row>
    <row r="55" spans="1:5" ht="15" x14ac:dyDescent="0.25">
      <c r="A55" s="26" t="s">
        <v>122</v>
      </c>
      <c r="B55" s="23"/>
      <c r="C55" s="23"/>
    </row>
    <row r="56" spans="1:5" ht="15" x14ac:dyDescent="0.25">
      <c r="A56" s="27" t="s">
        <v>125</v>
      </c>
      <c r="C56" s="28" t="s">
        <v>140</v>
      </c>
    </row>
    <row r="57" spans="1:5" ht="15" x14ac:dyDescent="0.25">
      <c r="A57" s="26" t="s">
        <v>126</v>
      </c>
      <c r="B57" s="24">
        <v>43</v>
      </c>
      <c r="C57" s="18" t="s">
        <v>127</v>
      </c>
    </row>
    <row r="58" spans="1:5" ht="15" x14ac:dyDescent="0.25">
      <c r="A58" s="176" t="s">
        <v>141</v>
      </c>
      <c r="B58" s="177"/>
      <c r="C58" s="177"/>
    </row>
    <row r="59" spans="1:5" ht="15" x14ac:dyDescent="0.25">
      <c r="A59" s="16" t="s">
        <v>1</v>
      </c>
      <c r="B59" s="16" t="s">
        <v>2</v>
      </c>
      <c r="C59" s="16" t="s">
        <v>3</v>
      </c>
    </row>
    <row r="60" spans="1:5" ht="15" x14ac:dyDescent="0.25">
      <c r="A60" s="21" t="s">
        <v>120</v>
      </c>
      <c r="B60" s="25" t="s">
        <v>129</v>
      </c>
      <c r="C60" s="22"/>
    </row>
    <row r="61" spans="1:5" ht="15" x14ac:dyDescent="0.25">
      <c r="A61" s="26" t="s">
        <v>122</v>
      </c>
      <c r="B61" s="23"/>
      <c r="C61" s="23"/>
    </row>
    <row r="62" spans="1:5" ht="15" x14ac:dyDescent="0.25">
      <c r="A62" s="27" t="s">
        <v>125</v>
      </c>
      <c r="C62" s="28" t="s">
        <v>142</v>
      </c>
    </row>
    <row r="63" spans="1:5" ht="15" x14ac:dyDescent="0.25">
      <c r="A63" s="26" t="s">
        <v>126</v>
      </c>
      <c r="B63" s="24">
        <v>23</v>
      </c>
      <c r="C63" s="18" t="s">
        <v>127</v>
      </c>
    </row>
    <row r="64" spans="1:5" ht="15" x14ac:dyDescent="0.25">
      <c r="A64" s="176" t="s">
        <v>143</v>
      </c>
      <c r="B64" s="177"/>
      <c r="C64" s="177"/>
    </row>
    <row r="65" spans="1:3" ht="15" x14ac:dyDescent="0.25">
      <c r="A65" s="16" t="s">
        <v>1</v>
      </c>
      <c r="B65" s="16" t="s">
        <v>2</v>
      </c>
      <c r="C65" s="16" t="s">
        <v>3</v>
      </c>
    </row>
    <row r="66" spans="1:3" ht="15" x14ac:dyDescent="0.25">
      <c r="A66" s="21" t="s">
        <v>120</v>
      </c>
      <c r="B66" s="25" t="s">
        <v>129</v>
      </c>
      <c r="C66" s="22"/>
    </row>
    <row r="67" spans="1:3" ht="15" x14ac:dyDescent="0.25">
      <c r="A67" s="26" t="s">
        <v>122</v>
      </c>
      <c r="B67" s="23"/>
      <c r="C67" s="23"/>
    </row>
    <row r="68" spans="1:3" ht="15" x14ac:dyDescent="0.25">
      <c r="A68" s="27" t="s">
        <v>125</v>
      </c>
      <c r="C68" s="22"/>
    </row>
    <row r="69" spans="1:3" ht="15" x14ac:dyDescent="0.25">
      <c r="A69" s="26" t="s">
        <v>126</v>
      </c>
      <c r="B69" s="24">
        <v>111</v>
      </c>
      <c r="C69" s="18" t="s">
        <v>127</v>
      </c>
    </row>
    <row r="70" spans="1:3" ht="15" x14ac:dyDescent="0.25">
      <c r="A70" s="176" t="s">
        <v>144</v>
      </c>
      <c r="B70" s="177"/>
      <c r="C70" s="177"/>
    </row>
    <row r="71" spans="1:3" ht="15" x14ac:dyDescent="0.25">
      <c r="A71" s="16" t="s">
        <v>1</v>
      </c>
      <c r="B71" s="16" t="s">
        <v>2</v>
      </c>
      <c r="C71" s="16" t="s">
        <v>3</v>
      </c>
    </row>
    <row r="72" spans="1:3" ht="15" x14ac:dyDescent="0.25">
      <c r="A72" s="21" t="s">
        <v>120</v>
      </c>
      <c r="B72" s="25" t="s">
        <v>145</v>
      </c>
      <c r="C72" s="22"/>
    </row>
    <row r="73" spans="1:3" ht="15" x14ac:dyDescent="0.25">
      <c r="A73" s="26" t="s">
        <v>122</v>
      </c>
      <c r="B73" s="23"/>
      <c r="C73" s="23"/>
    </row>
    <row r="74" spans="1:3" ht="15" x14ac:dyDescent="0.25">
      <c r="A74" s="27" t="s">
        <v>125</v>
      </c>
      <c r="C74" s="22"/>
    </row>
    <row r="75" spans="1:3" ht="15" x14ac:dyDescent="0.25">
      <c r="A75" s="26" t="s">
        <v>126</v>
      </c>
      <c r="B75" s="24">
        <v>21</v>
      </c>
      <c r="C75" s="18" t="s">
        <v>127</v>
      </c>
    </row>
    <row r="76" spans="1:3" ht="15" x14ac:dyDescent="0.25">
      <c r="A76" s="176" t="s">
        <v>146</v>
      </c>
      <c r="B76" s="177"/>
      <c r="C76" s="177"/>
    </row>
    <row r="77" spans="1:3" ht="15" x14ac:dyDescent="0.25">
      <c r="A77" s="16" t="s">
        <v>1</v>
      </c>
      <c r="B77" s="16" t="s">
        <v>2</v>
      </c>
      <c r="C77" s="16" t="s">
        <v>3</v>
      </c>
    </row>
    <row r="78" spans="1:3" ht="15" x14ac:dyDescent="0.25">
      <c r="A78" s="21" t="s">
        <v>120</v>
      </c>
      <c r="B78" s="25" t="s">
        <v>129</v>
      </c>
      <c r="C78" s="22"/>
    </row>
    <row r="79" spans="1:3" ht="15" x14ac:dyDescent="0.25">
      <c r="A79" s="26" t="s">
        <v>122</v>
      </c>
      <c r="B79" s="23"/>
      <c r="C79" s="23"/>
    </row>
    <row r="80" spans="1:3" ht="15" x14ac:dyDescent="0.25">
      <c r="A80" s="27" t="s">
        <v>125</v>
      </c>
      <c r="C80" s="28" t="s">
        <v>147</v>
      </c>
    </row>
    <row r="81" spans="1:3" ht="15" x14ac:dyDescent="0.25">
      <c r="A81" s="26" t="s">
        <v>126</v>
      </c>
      <c r="B81" s="24">
        <v>60</v>
      </c>
      <c r="C81" s="18" t="s">
        <v>127</v>
      </c>
    </row>
    <row r="82" spans="1:3" ht="15" x14ac:dyDescent="0.25">
      <c r="A82" s="176" t="s">
        <v>148</v>
      </c>
      <c r="B82" s="177"/>
      <c r="C82" s="177"/>
    </row>
    <row r="83" spans="1:3" ht="15" x14ac:dyDescent="0.25">
      <c r="A83" s="16" t="s">
        <v>1</v>
      </c>
      <c r="B83" s="16" t="s">
        <v>2</v>
      </c>
      <c r="C83" s="16" t="s">
        <v>3</v>
      </c>
    </row>
    <row r="84" spans="1:3" ht="15" x14ac:dyDescent="0.25">
      <c r="A84" s="21" t="s">
        <v>120</v>
      </c>
      <c r="B84" s="25" t="s">
        <v>274</v>
      </c>
      <c r="C84" s="22"/>
    </row>
    <row r="85" spans="1:3" ht="15" x14ac:dyDescent="0.25">
      <c r="A85" s="26" t="s">
        <v>122</v>
      </c>
      <c r="B85" s="23"/>
      <c r="C85" s="23"/>
    </row>
    <row r="86" spans="1:3" ht="15" x14ac:dyDescent="0.25">
      <c r="A86" s="27" t="s">
        <v>125</v>
      </c>
      <c r="C86" s="22"/>
    </row>
    <row r="87" spans="1:3" ht="15" x14ac:dyDescent="0.25">
      <c r="A87" s="26" t="s">
        <v>126</v>
      </c>
      <c r="B87" s="24">
        <v>40</v>
      </c>
      <c r="C87" s="18" t="s">
        <v>127</v>
      </c>
    </row>
    <row r="88" spans="1:3" ht="15" x14ac:dyDescent="0.25">
      <c r="A88" s="176" t="s">
        <v>150</v>
      </c>
      <c r="B88" s="177"/>
      <c r="C88" s="177"/>
    </row>
    <row r="89" spans="1:3" ht="15" x14ac:dyDescent="0.25">
      <c r="A89" s="16" t="s">
        <v>1</v>
      </c>
      <c r="B89" s="16" t="s">
        <v>2</v>
      </c>
      <c r="C89" s="16" t="s">
        <v>3</v>
      </c>
    </row>
    <row r="90" spans="1:3" ht="15" x14ac:dyDescent="0.25">
      <c r="A90" s="21" t="s">
        <v>120</v>
      </c>
      <c r="B90" s="25" t="s">
        <v>129</v>
      </c>
      <c r="C90" s="22"/>
    </row>
    <row r="91" spans="1:3" ht="15" x14ac:dyDescent="0.25">
      <c r="A91" s="26" t="s">
        <v>122</v>
      </c>
      <c r="B91" s="23"/>
      <c r="C91" s="23"/>
    </row>
    <row r="92" spans="1:3" ht="15" x14ac:dyDescent="0.25">
      <c r="A92" s="27" t="s">
        <v>125</v>
      </c>
      <c r="C92" s="28" t="s">
        <v>151</v>
      </c>
    </row>
    <row r="93" spans="1:3" ht="15" x14ac:dyDescent="0.25">
      <c r="A93" s="26" t="s">
        <v>126</v>
      </c>
      <c r="B93" s="24">
        <v>99</v>
      </c>
      <c r="C93" s="18" t="s">
        <v>127</v>
      </c>
    </row>
    <row r="94" spans="1:3" ht="15" x14ac:dyDescent="0.25">
      <c r="A94" s="176" t="s">
        <v>152</v>
      </c>
      <c r="B94" s="177"/>
      <c r="C94" s="177"/>
    </row>
    <row r="95" spans="1:3" ht="15" x14ac:dyDescent="0.25">
      <c r="A95" s="16" t="s">
        <v>1</v>
      </c>
      <c r="B95" s="16" t="s">
        <v>2</v>
      </c>
      <c r="C95" s="16" t="s">
        <v>3</v>
      </c>
    </row>
    <row r="96" spans="1:3" ht="15" x14ac:dyDescent="0.25">
      <c r="A96" s="21" t="s">
        <v>120</v>
      </c>
      <c r="B96" s="25" t="s">
        <v>129</v>
      </c>
      <c r="C96" s="22"/>
    </row>
    <row r="97" spans="1:3" ht="15" x14ac:dyDescent="0.25">
      <c r="A97" s="26" t="s">
        <v>122</v>
      </c>
      <c r="B97" s="23"/>
      <c r="C97" s="23"/>
    </row>
    <row r="98" spans="1:3" ht="15" x14ac:dyDescent="0.25">
      <c r="A98" s="27" t="s">
        <v>125</v>
      </c>
      <c r="C98" s="28"/>
    </row>
    <row r="99" spans="1:3" ht="15" x14ac:dyDescent="0.25">
      <c r="A99" s="26" t="s">
        <v>126</v>
      </c>
      <c r="B99" s="24">
        <v>44</v>
      </c>
      <c r="C99" s="18" t="s">
        <v>127</v>
      </c>
    </row>
    <row r="100" spans="1:3" ht="15" x14ac:dyDescent="0.25">
      <c r="A100" s="176" t="s">
        <v>153</v>
      </c>
      <c r="B100" s="177"/>
      <c r="C100" s="177"/>
    </row>
    <row r="101" spans="1:3" ht="15" x14ac:dyDescent="0.25">
      <c r="A101" s="16" t="s">
        <v>1</v>
      </c>
      <c r="B101" s="16" t="s">
        <v>2</v>
      </c>
      <c r="C101" s="16" t="s">
        <v>3</v>
      </c>
    </row>
    <row r="102" spans="1:3" ht="15" x14ac:dyDescent="0.25">
      <c r="A102" s="21" t="s">
        <v>120</v>
      </c>
      <c r="B102" s="25" t="s">
        <v>129</v>
      </c>
      <c r="C102" s="22"/>
    </row>
    <row r="103" spans="1:3" ht="15" x14ac:dyDescent="0.25">
      <c r="A103" s="26" t="s">
        <v>122</v>
      </c>
      <c r="B103" s="23"/>
      <c r="C103" s="23"/>
    </row>
    <row r="104" spans="1:3" ht="15" x14ac:dyDescent="0.25">
      <c r="A104" s="27" t="s">
        <v>125</v>
      </c>
      <c r="C104" s="28"/>
    </row>
    <row r="105" spans="1:3" ht="15" x14ac:dyDescent="0.25">
      <c r="A105" s="26" t="s">
        <v>126</v>
      </c>
      <c r="B105" s="24">
        <v>67</v>
      </c>
      <c r="C105" s="18" t="s">
        <v>127</v>
      </c>
    </row>
    <row r="106" spans="1:3" ht="15" x14ac:dyDescent="0.25">
      <c r="A106" s="176" t="s">
        <v>154</v>
      </c>
      <c r="B106" s="177"/>
      <c r="C106" s="177"/>
    </row>
    <row r="107" spans="1:3" ht="15" x14ac:dyDescent="0.25">
      <c r="A107" s="16" t="s">
        <v>1</v>
      </c>
      <c r="B107" s="16" t="s">
        <v>2</v>
      </c>
      <c r="C107" s="16" t="s">
        <v>3</v>
      </c>
    </row>
    <row r="108" spans="1:3" ht="15" x14ac:dyDescent="0.25">
      <c r="A108" s="21" t="s">
        <v>120</v>
      </c>
      <c r="B108" s="25" t="s">
        <v>129</v>
      </c>
      <c r="C108" s="22"/>
    </row>
    <row r="109" spans="1:3" ht="15" x14ac:dyDescent="0.25">
      <c r="A109" s="26" t="s">
        <v>122</v>
      </c>
      <c r="B109" s="23"/>
      <c r="C109" s="23"/>
    </row>
    <row r="110" spans="1:3" ht="15" x14ac:dyDescent="0.25">
      <c r="A110" s="27" t="s">
        <v>125</v>
      </c>
      <c r="C110" s="22"/>
    </row>
    <row r="111" spans="1:3" ht="15" x14ac:dyDescent="0.25">
      <c r="A111" s="26" t="s">
        <v>126</v>
      </c>
      <c r="B111" s="24">
        <v>8</v>
      </c>
      <c r="C111" s="18" t="s">
        <v>127</v>
      </c>
    </row>
    <row r="112" spans="1:3" ht="15" x14ac:dyDescent="0.25">
      <c r="A112" s="176" t="s">
        <v>155</v>
      </c>
      <c r="B112" s="177"/>
      <c r="C112" s="177"/>
    </row>
    <row r="113" spans="1:3" ht="15" x14ac:dyDescent="0.25">
      <c r="A113" s="16" t="s">
        <v>1</v>
      </c>
      <c r="B113" s="16" t="s">
        <v>2</v>
      </c>
      <c r="C113" s="16" t="s">
        <v>3</v>
      </c>
    </row>
    <row r="114" spans="1:3" ht="15" x14ac:dyDescent="0.25">
      <c r="A114" s="21" t="s">
        <v>120</v>
      </c>
      <c r="B114" s="25" t="s">
        <v>129</v>
      </c>
      <c r="C114" s="22"/>
    </row>
    <row r="115" spans="1:3" ht="15" x14ac:dyDescent="0.25">
      <c r="A115" s="26" t="s">
        <v>122</v>
      </c>
      <c r="B115" s="23"/>
      <c r="C115" s="23"/>
    </row>
    <row r="116" spans="1:3" ht="15" x14ac:dyDescent="0.25">
      <c r="A116" s="27" t="s">
        <v>125</v>
      </c>
      <c r="C116" s="28"/>
    </row>
    <row r="117" spans="1:3" ht="15" x14ac:dyDescent="0.25">
      <c r="A117" s="26" t="s">
        <v>126</v>
      </c>
      <c r="B117" s="24">
        <v>33</v>
      </c>
      <c r="C117" s="18" t="s">
        <v>127</v>
      </c>
    </row>
    <row r="118" spans="1:3" ht="15" x14ac:dyDescent="0.25">
      <c r="A118" s="176" t="s">
        <v>156</v>
      </c>
      <c r="B118" s="177"/>
      <c r="C118" s="177"/>
    </row>
    <row r="119" spans="1:3" ht="15" x14ac:dyDescent="0.25">
      <c r="A119" s="16" t="s">
        <v>1</v>
      </c>
      <c r="B119" s="16" t="s">
        <v>2</v>
      </c>
      <c r="C119" s="16" t="s">
        <v>3</v>
      </c>
    </row>
    <row r="120" spans="1:3" ht="15" x14ac:dyDescent="0.25">
      <c r="A120" s="21" t="s">
        <v>120</v>
      </c>
      <c r="B120" s="25" t="s">
        <v>129</v>
      </c>
      <c r="C120" s="22"/>
    </row>
    <row r="121" spans="1:3" ht="15" x14ac:dyDescent="0.25">
      <c r="A121" s="26" t="s">
        <v>122</v>
      </c>
      <c r="B121" s="23"/>
      <c r="C121" s="23"/>
    </row>
    <row r="122" spans="1:3" ht="15" x14ac:dyDescent="0.25">
      <c r="A122" s="27" t="s">
        <v>125</v>
      </c>
      <c r="C122" s="28"/>
    </row>
    <row r="123" spans="1:3" ht="15" x14ac:dyDescent="0.25">
      <c r="A123" s="26" t="s">
        <v>126</v>
      </c>
      <c r="B123" s="24">
        <v>22</v>
      </c>
      <c r="C123" s="18" t="s">
        <v>127</v>
      </c>
    </row>
    <row r="124" spans="1:3" ht="15" x14ac:dyDescent="0.25">
      <c r="A124" s="176" t="s">
        <v>157</v>
      </c>
      <c r="B124" s="177"/>
      <c r="C124" s="177"/>
    </row>
    <row r="125" spans="1:3" ht="15" x14ac:dyDescent="0.25">
      <c r="A125" s="16" t="s">
        <v>1</v>
      </c>
      <c r="B125" s="16" t="s">
        <v>2</v>
      </c>
      <c r="C125" s="16" t="s">
        <v>3</v>
      </c>
    </row>
    <row r="126" spans="1:3" ht="15" x14ac:dyDescent="0.25">
      <c r="A126" s="21" t="s">
        <v>120</v>
      </c>
      <c r="B126" s="25" t="s">
        <v>129</v>
      </c>
      <c r="C126" s="22"/>
    </row>
    <row r="127" spans="1:3" ht="15" x14ac:dyDescent="0.25">
      <c r="A127" s="26" t="s">
        <v>122</v>
      </c>
      <c r="B127" s="23"/>
      <c r="C127" s="23"/>
    </row>
    <row r="128" spans="1:3" ht="15" x14ac:dyDescent="0.25">
      <c r="A128" s="27" t="s">
        <v>125</v>
      </c>
      <c r="C128" s="28"/>
    </row>
    <row r="129" spans="1:3" ht="15" x14ac:dyDescent="0.25">
      <c r="A129" s="26" t="s">
        <v>126</v>
      </c>
      <c r="B129" s="24">
        <v>90</v>
      </c>
      <c r="C129" s="18" t="s">
        <v>127</v>
      </c>
    </row>
    <row r="130" spans="1:3" ht="18.75" x14ac:dyDescent="0.3">
      <c r="A130" s="178" t="s">
        <v>158</v>
      </c>
      <c r="B130" s="179"/>
      <c r="C130" s="180"/>
    </row>
    <row r="131" spans="1:3" ht="15" x14ac:dyDescent="0.25">
      <c r="A131" s="30"/>
      <c r="B131" s="23"/>
      <c r="C131" s="23"/>
    </row>
    <row r="132" spans="1:3" ht="15" x14ac:dyDescent="0.25">
      <c r="A132" s="176" t="s">
        <v>159</v>
      </c>
      <c r="B132" s="177"/>
      <c r="C132" s="177"/>
    </row>
    <row r="133" spans="1:3" ht="15" x14ac:dyDescent="0.25">
      <c r="A133" s="16" t="s">
        <v>1</v>
      </c>
      <c r="B133" s="16" t="s">
        <v>2</v>
      </c>
      <c r="C133" s="16" t="s">
        <v>3</v>
      </c>
    </row>
    <row r="134" spans="1:3" ht="15" x14ac:dyDescent="0.25">
      <c r="A134" s="21" t="s">
        <v>160</v>
      </c>
      <c r="B134" s="25" t="s">
        <v>129</v>
      </c>
      <c r="C134" s="22"/>
    </row>
    <row r="135" spans="1:3" x14ac:dyDescent="0.2">
      <c r="A135" s="24" t="s">
        <v>161</v>
      </c>
      <c r="B135" s="24" t="s">
        <v>162</v>
      </c>
      <c r="C135" s="23"/>
    </row>
    <row r="136" spans="1:3" ht="15" x14ac:dyDescent="0.25">
      <c r="A136" s="21" t="s">
        <v>163</v>
      </c>
      <c r="C136" s="28" t="s">
        <v>164</v>
      </c>
    </row>
    <row r="137" spans="1:3" ht="15" x14ac:dyDescent="0.25">
      <c r="A137" s="31" t="s">
        <v>165</v>
      </c>
      <c r="B137" s="24">
        <v>98</v>
      </c>
      <c r="C137" s="18" t="s">
        <v>166</v>
      </c>
    </row>
    <row r="138" spans="1:3" ht="15" x14ac:dyDescent="0.25">
      <c r="A138" s="176" t="s">
        <v>167</v>
      </c>
      <c r="B138" s="177"/>
      <c r="C138" s="177"/>
    </row>
    <row r="139" spans="1:3" ht="15" x14ac:dyDescent="0.25">
      <c r="A139" s="16" t="s">
        <v>1</v>
      </c>
      <c r="B139" s="16" t="s">
        <v>2</v>
      </c>
      <c r="C139" s="16" t="s">
        <v>3</v>
      </c>
    </row>
    <row r="140" spans="1:3" ht="15" x14ac:dyDescent="0.25">
      <c r="A140" s="21" t="s">
        <v>160</v>
      </c>
      <c r="B140" s="25" t="s">
        <v>129</v>
      </c>
      <c r="C140" s="22"/>
    </row>
    <row r="141" spans="1:3" x14ac:dyDescent="0.2">
      <c r="A141" s="24" t="s">
        <v>161</v>
      </c>
      <c r="B141" s="24" t="s">
        <v>162</v>
      </c>
      <c r="C141" s="23"/>
    </row>
    <row r="142" spans="1:3" ht="15" x14ac:dyDescent="0.25">
      <c r="A142" s="21" t="s">
        <v>168</v>
      </c>
      <c r="C142" s="28" t="s">
        <v>169</v>
      </c>
    </row>
    <row r="143" spans="1:3" ht="15" x14ac:dyDescent="0.25">
      <c r="A143" s="31" t="s">
        <v>165</v>
      </c>
      <c r="B143" s="24">
        <v>79</v>
      </c>
      <c r="C143" s="18" t="s">
        <v>166</v>
      </c>
    </row>
    <row r="144" spans="1:3" ht="15" x14ac:dyDescent="0.25">
      <c r="A144" s="176" t="s">
        <v>170</v>
      </c>
      <c r="B144" s="177"/>
      <c r="C144" s="177"/>
    </row>
    <row r="145" spans="1:3" ht="15" x14ac:dyDescent="0.25">
      <c r="A145" s="16" t="s">
        <v>1</v>
      </c>
      <c r="B145" s="16" t="s">
        <v>2</v>
      </c>
      <c r="C145" s="16" t="s">
        <v>3</v>
      </c>
    </row>
    <row r="146" spans="1:3" ht="15" x14ac:dyDescent="0.25">
      <c r="A146" s="21" t="s">
        <v>160</v>
      </c>
      <c r="B146" s="25" t="s">
        <v>129</v>
      </c>
      <c r="C146" s="22"/>
    </row>
    <row r="147" spans="1:3" x14ac:dyDescent="0.2">
      <c r="A147" s="24" t="s">
        <v>161</v>
      </c>
      <c r="B147" s="24" t="s">
        <v>171</v>
      </c>
      <c r="C147" s="23"/>
    </row>
    <row r="148" spans="1:3" ht="15" x14ac:dyDescent="0.25">
      <c r="A148" s="21" t="s">
        <v>172</v>
      </c>
      <c r="C148" s="28"/>
    </row>
    <row r="149" spans="1:3" ht="15" x14ac:dyDescent="0.25">
      <c r="A149" s="31" t="s">
        <v>165</v>
      </c>
      <c r="B149" s="24">
        <v>88</v>
      </c>
      <c r="C149" s="18" t="s">
        <v>166</v>
      </c>
    </row>
    <row r="150" spans="1:3" ht="15" x14ac:dyDescent="0.25">
      <c r="A150" s="176" t="s">
        <v>173</v>
      </c>
      <c r="B150" s="177"/>
      <c r="C150" s="177"/>
    </row>
    <row r="151" spans="1:3" ht="15" x14ac:dyDescent="0.25">
      <c r="A151" s="16" t="s">
        <v>1</v>
      </c>
      <c r="B151" s="16" t="s">
        <v>2</v>
      </c>
      <c r="C151" s="16" t="s">
        <v>3</v>
      </c>
    </row>
    <row r="152" spans="1:3" ht="15" x14ac:dyDescent="0.25">
      <c r="A152" s="21" t="s">
        <v>160</v>
      </c>
      <c r="B152" s="25" t="s">
        <v>129</v>
      </c>
      <c r="C152" s="22"/>
    </row>
    <row r="153" spans="1:3" x14ac:dyDescent="0.2">
      <c r="A153" s="24" t="s">
        <v>161</v>
      </c>
      <c r="B153" s="24" t="s">
        <v>162</v>
      </c>
      <c r="C153" s="23"/>
    </row>
    <row r="154" spans="1:3" ht="15" x14ac:dyDescent="0.25">
      <c r="A154" s="21" t="s">
        <v>174</v>
      </c>
      <c r="C154" s="28"/>
    </row>
    <row r="155" spans="1:3" ht="15" x14ac:dyDescent="0.25">
      <c r="A155" s="31" t="s">
        <v>165</v>
      </c>
      <c r="B155" s="24">
        <v>87</v>
      </c>
      <c r="C155" s="18" t="s">
        <v>166</v>
      </c>
    </row>
    <row r="156" spans="1:3" ht="15" x14ac:dyDescent="0.25">
      <c r="A156" s="176" t="s">
        <v>175</v>
      </c>
      <c r="B156" s="177"/>
      <c r="C156" s="177"/>
    </row>
    <row r="157" spans="1:3" ht="15" x14ac:dyDescent="0.25">
      <c r="A157" s="16" t="s">
        <v>1</v>
      </c>
      <c r="B157" s="16" t="s">
        <v>2</v>
      </c>
      <c r="C157" s="16" t="s">
        <v>3</v>
      </c>
    </row>
    <row r="158" spans="1:3" ht="15" x14ac:dyDescent="0.25">
      <c r="A158" s="33" t="s">
        <v>160</v>
      </c>
      <c r="B158" s="25" t="s">
        <v>129</v>
      </c>
      <c r="C158" s="32"/>
    </row>
    <row r="159" spans="1:3" x14ac:dyDescent="0.2">
      <c r="A159" s="24" t="s">
        <v>161</v>
      </c>
      <c r="B159" s="24" t="s">
        <v>171</v>
      </c>
      <c r="C159" s="23"/>
    </row>
    <row r="160" spans="1:3" ht="15" x14ac:dyDescent="0.25">
      <c r="A160" s="33" t="s">
        <v>176</v>
      </c>
      <c r="C160" s="28" t="s">
        <v>177</v>
      </c>
    </row>
    <row r="161" spans="1:3" ht="15" x14ac:dyDescent="0.25">
      <c r="A161" s="31" t="s">
        <v>165</v>
      </c>
      <c r="B161" s="24">
        <v>89</v>
      </c>
      <c r="C161" s="18" t="s">
        <v>166</v>
      </c>
    </row>
    <row r="162" spans="1:3" ht="15" x14ac:dyDescent="0.25">
      <c r="A162" s="176" t="s">
        <v>178</v>
      </c>
      <c r="B162" s="176"/>
      <c r="C162" s="176"/>
    </row>
    <row r="163" spans="1:3" ht="15" x14ac:dyDescent="0.25">
      <c r="A163" s="16" t="s">
        <v>1</v>
      </c>
      <c r="B163" s="16" t="s">
        <v>2</v>
      </c>
      <c r="C163" s="16" t="s">
        <v>3</v>
      </c>
    </row>
    <row r="164" spans="1:3" ht="15" x14ac:dyDescent="0.25">
      <c r="A164" s="33" t="s">
        <v>160</v>
      </c>
      <c r="B164" s="25" t="s">
        <v>129</v>
      </c>
      <c r="C164" s="32"/>
    </row>
    <row r="165" spans="1:3" x14ac:dyDescent="0.2">
      <c r="A165" s="24" t="s">
        <v>161</v>
      </c>
      <c r="B165" s="24" t="s">
        <v>162</v>
      </c>
      <c r="C165" s="23"/>
    </row>
    <row r="166" spans="1:3" ht="15" x14ac:dyDescent="0.25">
      <c r="A166" s="33" t="s">
        <v>176</v>
      </c>
      <c r="C166" s="28" t="s">
        <v>179</v>
      </c>
    </row>
    <row r="167" spans="1:3" ht="15" x14ac:dyDescent="0.25">
      <c r="A167" s="31" t="s">
        <v>165</v>
      </c>
      <c r="B167" s="24">
        <v>56</v>
      </c>
      <c r="C167" s="18" t="s">
        <v>166</v>
      </c>
    </row>
  </sheetData>
  <mergeCells count="29">
    <mergeCell ref="A2:C2"/>
    <mergeCell ref="A3:C3"/>
    <mergeCell ref="A10:C10"/>
    <mergeCell ref="A16:C16"/>
    <mergeCell ref="A22:C22"/>
    <mergeCell ref="A28:C28"/>
    <mergeCell ref="A34:C34"/>
    <mergeCell ref="A40:C40"/>
    <mergeCell ref="A46:C46"/>
    <mergeCell ref="A52:C52"/>
    <mergeCell ref="A58:C58"/>
    <mergeCell ref="A64:C64"/>
    <mergeCell ref="A70:C70"/>
    <mergeCell ref="A76:C76"/>
    <mergeCell ref="A82:C82"/>
    <mergeCell ref="A88:C88"/>
    <mergeCell ref="A94:C94"/>
    <mergeCell ref="A100:C100"/>
    <mergeCell ref="A106:C106"/>
    <mergeCell ref="A112:C112"/>
    <mergeCell ref="A156:C156"/>
    <mergeCell ref="A162:C162"/>
    <mergeCell ref="A132:C132"/>
    <mergeCell ref="A144:C144"/>
    <mergeCell ref="A118:C118"/>
    <mergeCell ref="A124:C124"/>
    <mergeCell ref="A130:C130"/>
    <mergeCell ref="A138:C138"/>
    <mergeCell ref="A150:C150"/>
  </mergeCells>
  <dataValidations count="3">
    <dataValidation type="custom" allowBlank="1" showDropDown="1" showErrorMessage="1" sqref="E7" xr:uid="{00000000-0002-0000-0200-000003000000}">
      <formula1>B4="NON"</formula1>
    </dataValidation>
    <dataValidation type="custom" allowBlank="1" showDropDown="1" showErrorMessage="1" sqref="E6" xr:uid="{00000000-0002-0000-0200-000006000000}">
      <formula1>B5="NON"</formula1>
    </dataValidation>
    <dataValidation type="custom" allowBlank="1" showDropDown="1" showErrorMessage="1" sqref="E8" xr:uid="{00000000-0002-0000-0200-000007000000}">
      <formula1>B6="NON"</formula1>
    </dataValidation>
  </dataValidations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xr:uid="{00000000-0002-0000-0200-000000000000}">
          <x14:formula1>
            <xm:f>DATA_Listes!$A$77:$A$78</xm:f>
          </x14:formula1>
          <xm:sqref>B135 B165 B159 B153 B147 B141</xm:sqref>
        </x14:dataValidation>
        <x14:dataValidation type="list" allowBlank="1" xr:uid="{00000000-0002-0000-0200-000001000000}">
          <x14:formula1>
            <xm:f>DATA_Listes!$A$69:$A$71</xm:f>
          </x14:formula1>
          <xm:sqref>B72</xm:sqref>
        </x14:dataValidation>
        <x14:dataValidation type="list" allowBlank="1" xr:uid="{00000000-0002-0000-0200-000002000000}">
          <x14:formula1>
            <xm:f>DATA_Listes!$A$64:$A$66</xm:f>
          </x14:formula1>
          <xm:sqref>B84</xm:sqref>
        </x14:dataValidation>
        <x14:dataValidation type="list" allowBlank="1" xr:uid="{00000000-0002-0000-0200-000004000000}">
          <x14:formula1>
            <xm:f>DATA_Listes!$A$58:$A$61</xm:f>
          </x14:formula1>
          <xm:sqref>B36</xm:sqref>
        </x14:dataValidation>
        <x14:dataValidation type="list" allowBlank="1" xr:uid="{00000000-0002-0000-0200-000005000000}">
          <x14:formula1>
            <xm:f>DATA_Listes!$A$73:$A$74</xm:f>
          </x14:formula1>
          <xm:sqref>B12 B164 B158 B152 B146 B140 B134 B126 B120 B114 B108 B102 B96 B90 B78 B66 B60 B54 B48 B42 B24 B18</xm:sqref>
        </x14:dataValidation>
        <x14:dataValidation type="list" allowBlank="1" xr:uid="{00000000-0002-0000-0200-000008000000}">
          <x14:formula1>
            <xm:f>DATA_Listes!$A$46:$A$49</xm:f>
          </x14:formula1>
          <xm:sqref>B7</xm:sqref>
        </x14:dataValidation>
        <x14:dataValidation type="list" allowBlank="1" xr:uid="{00000000-0002-0000-0200-000009000000}">
          <x14:formula1>
            <xm:f>DATA_Listes!$A$52:$A$55</xm:f>
          </x14:formula1>
          <xm:sqref>B30</xm:sqref>
        </x14:dataValidation>
        <x14:dataValidation type="list" allowBlank="1" xr:uid="{00000000-0002-0000-0200-00000A000000}">
          <x14:formula1>
            <xm:f>DATA_Listes!$A$40:$A$43</xm:f>
          </x14:formula1>
          <xm:sqref>B5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FFB7B-B5C8-442B-9F78-2D5E38F5349C}">
  <sheetPr>
    <tabColor theme="4"/>
  </sheetPr>
  <dimension ref="A1:P108"/>
  <sheetViews>
    <sheetView showGridLines="0" topLeftCell="A19" zoomScale="85" zoomScaleNormal="85" workbookViewId="0">
      <selection activeCell="G22" sqref="G22"/>
    </sheetView>
  </sheetViews>
  <sheetFormatPr baseColWidth="10" defaultColWidth="11.42578125" defaultRowHeight="12.75" x14ac:dyDescent="0.2"/>
  <cols>
    <col min="1" max="1" width="11.42578125" style="47"/>
    <col min="2" max="2" width="10.28515625" style="47" customWidth="1"/>
    <col min="3" max="3" width="60.28515625" style="47" bestFit="1" customWidth="1"/>
    <col min="4" max="4" width="7.140625" style="47" bestFit="1" customWidth="1"/>
    <col min="5" max="5" width="6.140625" style="47" bestFit="1" customWidth="1"/>
    <col min="6" max="6" width="7.85546875" style="47" bestFit="1" customWidth="1"/>
    <col min="7" max="7" width="8.42578125" style="47" bestFit="1" customWidth="1"/>
    <col min="8" max="8" width="7.85546875" style="47" bestFit="1" customWidth="1"/>
    <col min="9" max="9" width="7.5703125" style="47" bestFit="1" customWidth="1"/>
    <col min="10" max="10" width="2.85546875" style="47" bestFit="1" customWidth="1"/>
    <col min="11" max="11" width="4.140625" style="47" bestFit="1" customWidth="1"/>
    <col min="12" max="12" width="11.5703125" style="47" bestFit="1" customWidth="1"/>
    <col min="13" max="13" width="24.140625" style="47" customWidth="1"/>
    <col min="14" max="14" width="24.85546875" style="47" customWidth="1"/>
    <col min="15" max="15" width="71.5703125" style="47" customWidth="1"/>
    <col min="16" max="16" width="38.5703125" style="47" customWidth="1"/>
    <col min="17" max="170" width="24" style="47" bestFit="1" customWidth="1"/>
    <col min="171" max="171" width="13.140625" style="47" bestFit="1" customWidth="1"/>
    <col min="172" max="16384" width="11.42578125" style="47"/>
  </cols>
  <sheetData>
    <row r="1" spans="1:16" ht="28.5" x14ac:dyDescent="0.45">
      <c r="A1" s="181" t="s">
        <v>359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</row>
    <row r="4" spans="1:16" x14ac:dyDescent="0.2">
      <c r="M4" s="48" t="s">
        <v>357</v>
      </c>
      <c r="N4" s="48" t="s">
        <v>358</v>
      </c>
      <c r="O4" s="49" t="s">
        <v>79</v>
      </c>
    </row>
    <row r="5" spans="1:16" ht="25.5" x14ac:dyDescent="0.2">
      <c r="M5" s="50">
        <v>4</v>
      </c>
      <c r="N5" s="51" t="s">
        <v>291</v>
      </c>
      <c r="O5" s="52" t="s">
        <v>292</v>
      </c>
    </row>
    <row r="6" spans="1:16" ht="25.5" x14ac:dyDescent="0.2">
      <c r="M6" s="53">
        <v>3</v>
      </c>
      <c r="N6" s="54" t="s">
        <v>293</v>
      </c>
      <c r="O6" s="55" t="s">
        <v>294</v>
      </c>
    </row>
    <row r="7" spans="1:16" ht="25.5" x14ac:dyDescent="0.2">
      <c r="M7" s="56">
        <v>2</v>
      </c>
      <c r="N7" s="57" t="s">
        <v>295</v>
      </c>
      <c r="O7" s="58" t="s">
        <v>296</v>
      </c>
    </row>
    <row r="8" spans="1:16" ht="25.5" x14ac:dyDescent="0.2">
      <c r="M8" s="59">
        <v>1</v>
      </c>
      <c r="N8" s="60" t="s">
        <v>297</v>
      </c>
      <c r="O8" s="61" t="s">
        <v>298</v>
      </c>
    </row>
    <row r="9" spans="1:16" x14ac:dyDescent="0.2">
      <c r="K9" s="62"/>
      <c r="L9" s="63"/>
      <c r="M9" s="64"/>
    </row>
    <row r="10" spans="1:16" ht="25.5" x14ac:dyDescent="0.2">
      <c r="B10" s="46" t="s">
        <v>375</v>
      </c>
      <c r="K10"/>
    </row>
    <row r="11" spans="1:16" ht="51" x14ac:dyDescent="0.2">
      <c r="D11" s="44" t="s">
        <v>354</v>
      </c>
      <c r="E11" s="44" t="s">
        <v>355</v>
      </c>
      <c r="F11" s="44" t="s">
        <v>107</v>
      </c>
      <c r="G11" s="44" t="s">
        <v>95</v>
      </c>
      <c r="H11" s="44" t="s">
        <v>356</v>
      </c>
      <c r="I11" s="44" t="s">
        <v>99</v>
      </c>
      <c r="J11" s="44" t="s">
        <v>373</v>
      </c>
      <c r="K11"/>
      <c r="L11"/>
      <c r="M11"/>
    </row>
    <row r="12" spans="1:16" ht="25.5" x14ac:dyDescent="0.2">
      <c r="B12" s="47" t="s">
        <v>75</v>
      </c>
      <c r="C12" s="47" t="s">
        <v>233</v>
      </c>
      <c r="D12" s="42"/>
      <c r="E12" s="42"/>
      <c r="F12" s="42"/>
      <c r="G12" s="42"/>
      <c r="H12" s="42"/>
      <c r="I12" s="42"/>
      <c r="J12" s="42">
        <v>2</v>
      </c>
      <c r="K12"/>
      <c r="L12"/>
      <c r="M12"/>
    </row>
    <row r="13" spans="1:16" x14ac:dyDescent="0.2">
      <c r="D13" s="42"/>
      <c r="E13" s="42"/>
      <c r="F13" s="42"/>
      <c r="G13" s="42"/>
      <c r="H13" s="42"/>
      <c r="I13" s="42"/>
      <c r="J13" s="42"/>
      <c r="K13"/>
      <c r="L13"/>
      <c r="M13"/>
    </row>
    <row r="14" spans="1:16" ht="25.5" x14ac:dyDescent="0.2">
      <c r="B14" s="47" t="s">
        <v>76</v>
      </c>
      <c r="C14" s="47" t="s">
        <v>235</v>
      </c>
      <c r="D14" s="42"/>
      <c r="E14" s="42"/>
      <c r="F14" s="42"/>
      <c r="G14" s="42"/>
      <c r="H14" s="42"/>
      <c r="I14" s="42"/>
      <c r="J14" s="42">
        <v>4</v>
      </c>
      <c r="K14"/>
      <c r="L14"/>
      <c r="M14"/>
    </row>
    <row r="15" spans="1:16" x14ac:dyDescent="0.2">
      <c r="D15" s="42"/>
      <c r="E15" s="42"/>
      <c r="F15" s="42"/>
      <c r="G15" s="42"/>
      <c r="H15" s="42"/>
      <c r="I15" s="42"/>
      <c r="J15" s="42"/>
      <c r="K15"/>
      <c r="L15"/>
      <c r="M15"/>
    </row>
    <row r="16" spans="1:16" x14ac:dyDescent="0.2">
      <c r="B16" s="47" t="s">
        <v>77</v>
      </c>
      <c r="C16" s="47" t="s">
        <v>236</v>
      </c>
      <c r="D16" s="42"/>
      <c r="E16" s="42"/>
      <c r="F16" s="42"/>
      <c r="G16" s="42"/>
      <c r="H16" s="42"/>
      <c r="I16" s="42"/>
      <c r="J16" s="42">
        <v>2</v>
      </c>
      <c r="K16"/>
      <c r="L16"/>
      <c r="M16"/>
    </row>
    <row r="17" spans="2:13" x14ac:dyDescent="0.2">
      <c r="D17" s="42"/>
      <c r="E17" s="42"/>
      <c r="F17" s="42"/>
      <c r="G17" s="42"/>
      <c r="H17" s="42"/>
      <c r="I17" s="42"/>
      <c r="J17" s="42"/>
      <c r="K17"/>
      <c r="L17"/>
      <c r="M17"/>
    </row>
    <row r="18" spans="2:13" ht="25.5" x14ac:dyDescent="0.2">
      <c r="B18" s="47" t="s">
        <v>78</v>
      </c>
      <c r="C18" s="47" t="s">
        <v>237</v>
      </c>
      <c r="D18" s="42"/>
      <c r="E18" s="42"/>
      <c r="F18" s="42"/>
      <c r="G18" s="42"/>
      <c r="H18" s="42"/>
      <c r="I18" s="42"/>
      <c r="J18" s="42">
        <v>2</v>
      </c>
      <c r="K18"/>
      <c r="L18"/>
      <c r="M18"/>
    </row>
    <row r="19" spans="2:13" x14ac:dyDescent="0.2">
      <c r="D19" s="42"/>
      <c r="E19" s="42"/>
      <c r="F19" s="42"/>
      <c r="G19" s="42"/>
      <c r="H19" s="42"/>
      <c r="I19" s="42"/>
      <c r="J19" s="42"/>
      <c r="K19"/>
      <c r="L19"/>
      <c r="M19"/>
    </row>
    <row r="20" spans="2:13" x14ac:dyDescent="0.2">
      <c r="B20" s="47" t="s">
        <v>72</v>
      </c>
      <c r="C20" s="47" t="s">
        <v>230</v>
      </c>
      <c r="D20" s="42">
        <v>2</v>
      </c>
      <c r="E20" s="42">
        <v>1</v>
      </c>
      <c r="F20" s="42"/>
      <c r="G20" s="42"/>
      <c r="H20" s="42">
        <v>1</v>
      </c>
      <c r="I20" s="42"/>
      <c r="J20" s="42"/>
      <c r="K20"/>
      <c r="L20"/>
      <c r="M20"/>
    </row>
    <row r="21" spans="2:13" x14ac:dyDescent="0.2">
      <c r="D21" s="42"/>
      <c r="E21" s="42"/>
      <c r="F21" s="42"/>
      <c r="G21" s="42"/>
      <c r="H21" s="42"/>
      <c r="I21" s="42"/>
      <c r="J21" s="42"/>
      <c r="K21"/>
      <c r="L21"/>
      <c r="M21"/>
    </row>
    <row r="22" spans="2:13" x14ac:dyDescent="0.2">
      <c r="B22" s="47" t="s">
        <v>73</v>
      </c>
      <c r="C22" s="47" t="s">
        <v>231</v>
      </c>
      <c r="D22" s="42">
        <v>1</v>
      </c>
      <c r="E22" s="42">
        <v>3</v>
      </c>
      <c r="F22" s="42"/>
      <c r="G22" s="42"/>
      <c r="H22" s="42">
        <v>4</v>
      </c>
      <c r="I22" s="42"/>
      <c r="J22" s="42"/>
      <c r="K22"/>
      <c r="L22"/>
      <c r="M22"/>
    </row>
    <row r="23" spans="2:13" x14ac:dyDescent="0.2">
      <c r="D23" s="42"/>
      <c r="E23" s="42"/>
      <c r="F23" s="42"/>
      <c r="G23" s="42"/>
      <c r="H23" s="42"/>
      <c r="I23" s="42"/>
      <c r="J23" s="42"/>
      <c r="K23"/>
      <c r="L23"/>
      <c r="M23"/>
    </row>
    <row r="24" spans="2:13" x14ac:dyDescent="0.2">
      <c r="B24" s="47" t="s">
        <v>74</v>
      </c>
      <c r="C24" s="47" t="s">
        <v>232</v>
      </c>
      <c r="D24" s="42">
        <v>1</v>
      </c>
      <c r="E24" s="42">
        <v>3</v>
      </c>
      <c r="F24" s="42"/>
      <c r="G24" s="42"/>
      <c r="H24" s="42">
        <v>4</v>
      </c>
      <c r="I24" s="42"/>
      <c r="J24" s="42"/>
      <c r="K24"/>
      <c r="L24"/>
      <c r="M24"/>
    </row>
    <row r="25" spans="2:13" x14ac:dyDescent="0.2">
      <c r="D25" s="42"/>
      <c r="E25" s="42"/>
      <c r="F25" s="42"/>
      <c r="G25" s="42"/>
      <c r="H25" s="42"/>
      <c r="I25" s="42"/>
      <c r="J25" s="42"/>
      <c r="K25"/>
      <c r="L25"/>
      <c r="M25"/>
    </row>
    <row r="26" spans="2:13" x14ac:dyDescent="0.2">
      <c r="B26" s="47" t="s">
        <v>52</v>
      </c>
      <c r="C26" s="47" t="s">
        <v>189</v>
      </c>
      <c r="D26" s="42"/>
      <c r="E26" s="42"/>
      <c r="F26" s="42">
        <v>1</v>
      </c>
      <c r="G26" s="42">
        <v>4</v>
      </c>
      <c r="H26" s="42">
        <v>1</v>
      </c>
      <c r="I26" s="42">
        <v>2</v>
      </c>
      <c r="J26" s="42"/>
      <c r="K26"/>
      <c r="L26"/>
      <c r="M26"/>
    </row>
    <row r="27" spans="2:13" x14ac:dyDescent="0.2">
      <c r="D27" s="42"/>
      <c r="E27" s="42"/>
      <c r="F27" s="42"/>
      <c r="G27" s="42"/>
      <c r="H27" s="42"/>
      <c r="I27" s="42"/>
      <c r="J27" s="42"/>
      <c r="K27"/>
      <c r="L27"/>
      <c r="M27"/>
    </row>
    <row r="28" spans="2:13" ht="25.5" x14ac:dyDescent="0.2">
      <c r="B28" s="47" t="s">
        <v>61</v>
      </c>
      <c r="C28" s="47" t="s">
        <v>207</v>
      </c>
      <c r="D28" s="42"/>
      <c r="E28" s="42"/>
      <c r="F28" s="42">
        <v>1</v>
      </c>
      <c r="G28" s="42">
        <v>1</v>
      </c>
      <c r="H28" s="42"/>
      <c r="I28" s="42">
        <v>1</v>
      </c>
      <c r="J28" s="42"/>
      <c r="K28"/>
      <c r="L28"/>
      <c r="M28"/>
    </row>
    <row r="29" spans="2:13" x14ac:dyDescent="0.2">
      <c r="D29" s="42"/>
      <c r="E29" s="42"/>
      <c r="F29" s="42"/>
      <c r="G29" s="42"/>
      <c r="H29" s="42"/>
      <c r="I29" s="42"/>
      <c r="J29" s="42"/>
      <c r="K29"/>
      <c r="L29"/>
    </row>
    <row r="30" spans="2:13" ht="25.5" x14ac:dyDescent="0.2">
      <c r="B30" s="47" t="s">
        <v>62</v>
      </c>
      <c r="C30" s="47" t="s">
        <v>208</v>
      </c>
      <c r="D30" s="42"/>
      <c r="E30" s="42"/>
      <c r="F30" s="42">
        <v>1</v>
      </c>
      <c r="G30" s="42">
        <v>3</v>
      </c>
      <c r="H30" s="42">
        <v>1</v>
      </c>
      <c r="I30" s="42">
        <v>3</v>
      </c>
      <c r="J30" s="42"/>
      <c r="K30"/>
      <c r="L30"/>
    </row>
    <row r="31" spans="2:13" x14ac:dyDescent="0.2">
      <c r="D31" s="42"/>
      <c r="E31" s="42"/>
      <c r="F31" s="42"/>
      <c r="G31" s="42"/>
      <c r="H31" s="42"/>
      <c r="I31" s="42"/>
      <c r="J31" s="42"/>
      <c r="K31"/>
      <c r="L31"/>
    </row>
    <row r="32" spans="2:13" ht="25.5" x14ac:dyDescent="0.2">
      <c r="B32" s="47" t="s">
        <v>63</v>
      </c>
      <c r="C32" s="47" t="s">
        <v>211</v>
      </c>
      <c r="D32" s="42"/>
      <c r="E32" s="42"/>
      <c r="F32" s="42">
        <v>1</v>
      </c>
      <c r="G32" s="42">
        <v>3</v>
      </c>
      <c r="H32" s="42">
        <v>1</v>
      </c>
      <c r="I32" s="42">
        <v>3</v>
      </c>
      <c r="J32" s="42"/>
      <c r="K32"/>
      <c r="L32"/>
    </row>
    <row r="33" spans="2:12" x14ac:dyDescent="0.2">
      <c r="D33" s="42"/>
      <c r="E33" s="42"/>
      <c r="F33" s="42"/>
      <c r="G33" s="42"/>
      <c r="H33" s="42"/>
      <c r="I33" s="42"/>
      <c r="J33" s="42"/>
      <c r="K33"/>
      <c r="L33"/>
    </row>
    <row r="34" spans="2:12" ht="25.5" x14ac:dyDescent="0.2">
      <c r="B34" s="47" t="s">
        <v>64</v>
      </c>
      <c r="C34" s="47" t="s">
        <v>213</v>
      </c>
      <c r="D34" s="42"/>
      <c r="E34" s="42"/>
      <c r="F34" s="42">
        <v>2</v>
      </c>
      <c r="G34" s="42">
        <v>3</v>
      </c>
      <c r="H34" s="42">
        <v>2</v>
      </c>
      <c r="I34" s="42">
        <v>3</v>
      </c>
      <c r="J34" s="42"/>
      <c r="K34"/>
      <c r="L34"/>
    </row>
    <row r="35" spans="2:12" x14ac:dyDescent="0.2">
      <c r="D35" s="42"/>
      <c r="E35" s="42"/>
      <c r="F35" s="42"/>
      <c r="G35" s="42"/>
      <c r="H35" s="42"/>
      <c r="I35" s="42"/>
      <c r="J35" s="42"/>
      <c r="K35"/>
      <c r="L35"/>
    </row>
    <row r="36" spans="2:12" x14ac:dyDescent="0.2">
      <c r="B36" s="47" t="s">
        <v>65</v>
      </c>
      <c r="C36" s="47" t="s">
        <v>215</v>
      </c>
      <c r="D36" s="42"/>
      <c r="E36" s="42"/>
      <c r="F36" s="42">
        <v>1</v>
      </c>
      <c r="G36" s="42">
        <v>4</v>
      </c>
      <c r="H36" s="42">
        <v>2</v>
      </c>
      <c r="I36" s="42">
        <v>2</v>
      </c>
      <c r="J36" s="42"/>
      <c r="K36"/>
    </row>
    <row r="37" spans="2:12" x14ac:dyDescent="0.2">
      <c r="D37" s="42"/>
      <c r="E37" s="42"/>
      <c r="F37" s="42"/>
      <c r="G37" s="42"/>
      <c r="H37" s="42"/>
      <c r="I37" s="42"/>
      <c r="J37" s="42"/>
      <c r="K37"/>
    </row>
    <row r="38" spans="2:12" ht="25.5" x14ac:dyDescent="0.2">
      <c r="B38" s="47" t="s">
        <v>66</v>
      </c>
      <c r="C38" s="47" t="s">
        <v>217</v>
      </c>
      <c r="D38" s="42"/>
      <c r="E38" s="42"/>
      <c r="F38" s="42">
        <v>1</v>
      </c>
      <c r="G38" s="42">
        <v>3</v>
      </c>
      <c r="H38" s="42">
        <v>2</v>
      </c>
      <c r="I38" s="42">
        <v>3</v>
      </c>
      <c r="J38" s="42"/>
      <c r="K38"/>
    </row>
    <row r="39" spans="2:12" x14ac:dyDescent="0.2">
      <c r="D39" s="42"/>
      <c r="E39" s="42"/>
      <c r="F39" s="42"/>
      <c r="G39" s="42"/>
      <c r="H39" s="42"/>
      <c r="I39" s="42"/>
      <c r="J39" s="42"/>
      <c r="K39"/>
    </row>
    <row r="40" spans="2:12" x14ac:dyDescent="0.2">
      <c r="B40" s="47" t="s">
        <v>67</v>
      </c>
      <c r="C40" s="47" t="s">
        <v>219</v>
      </c>
      <c r="D40" s="42"/>
      <c r="E40" s="42"/>
      <c r="F40" s="42">
        <v>1</v>
      </c>
      <c r="G40" s="42">
        <v>4</v>
      </c>
      <c r="H40" s="42">
        <v>1</v>
      </c>
      <c r="I40" s="42">
        <v>3</v>
      </c>
      <c r="J40" s="42"/>
      <c r="K40"/>
    </row>
    <row r="41" spans="2:12" x14ac:dyDescent="0.2">
      <c r="D41" s="42"/>
      <c r="E41" s="42"/>
      <c r="F41" s="42"/>
      <c r="G41" s="42"/>
      <c r="H41" s="42"/>
      <c r="I41" s="42"/>
      <c r="J41" s="42"/>
      <c r="K41"/>
    </row>
    <row r="42" spans="2:12" x14ac:dyDescent="0.2">
      <c r="B42" s="47" t="s">
        <v>68</v>
      </c>
      <c r="C42" s="47" t="s">
        <v>221</v>
      </c>
      <c r="D42" s="42"/>
      <c r="E42" s="42"/>
      <c r="F42" s="42">
        <v>1</v>
      </c>
      <c r="G42" s="42">
        <v>4</v>
      </c>
      <c r="H42" s="42">
        <v>1</v>
      </c>
      <c r="I42" s="42">
        <v>4</v>
      </c>
      <c r="J42" s="42"/>
      <c r="K42"/>
    </row>
    <row r="43" spans="2:12" x14ac:dyDescent="0.2">
      <c r="D43" s="42"/>
      <c r="E43" s="42"/>
      <c r="F43" s="42"/>
      <c r="G43" s="42"/>
      <c r="H43" s="42"/>
      <c r="I43" s="42"/>
      <c r="J43" s="42"/>
      <c r="K43"/>
    </row>
    <row r="44" spans="2:12" x14ac:dyDescent="0.2">
      <c r="B44" s="47" t="s">
        <v>69</v>
      </c>
      <c r="C44" s="47" t="s">
        <v>224</v>
      </c>
      <c r="D44" s="42"/>
      <c r="E44" s="42"/>
      <c r="F44" s="42">
        <v>2</v>
      </c>
      <c r="G44" s="42">
        <v>4</v>
      </c>
      <c r="H44" s="42">
        <v>3</v>
      </c>
      <c r="I44" s="42">
        <v>3</v>
      </c>
      <c r="J44" s="42"/>
      <c r="K44"/>
    </row>
    <row r="45" spans="2:12" x14ac:dyDescent="0.2">
      <c r="D45" s="42"/>
      <c r="E45" s="42"/>
      <c r="F45" s="42"/>
      <c r="G45" s="42"/>
      <c r="H45" s="42"/>
      <c r="I45" s="42"/>
      <c r="J45" s="42"/>
      <c r="K45"/>
    </row>
    <row r="46" spans="2:12" x14ac:dyDescent="0.2">
      <c r="B46" s="47" t="s">
        <v>70</v>
      </c>
      <c r="C46" s="47" t="s">
        <v>226</v>
      </c>
      <c r="D46" s="42"/>
      <c r="E46" s="42"/>
      <c r="F46" s="42">
        <v>1</v>
      </c>
      <c r="G46" s="42">
        <v>4</v>
      </c>
      <c r="H46" s="42">
        <v>1</v>
      </c>
      <c r="I46" s="42">
        <v>4</v>
      </c>
      <c r="J46" s="42"/>
      <c r="K46"/>
    </row>
    <row r="47" spans="2:12" x14ac:dyDescent="0.2">
      <c r="D47" s="42"/>
      <c r="E47" s="42"/>
      <c r="F47" s="42"/>
      <c r="G47" s="42"/>
      <c r="H47" s="42"/>
      <c r="I47" s="42"/>
      <c r="J47" s="42"/>
      <c r="K47"/>
    </row>
    <row r="48" spans="2:12" ht="25.5" x14ac:dyDescent="0.2">
      <c r="B48" s="47" t="s">
        <v>53</v>
      </c>
      <c r="C48" s="47" t="s">
        <v>192</v>
      </c>
      <c r="D48" s="42"/>
      <c r="E48" s="42"/>
      <c r="F48" s="42">
        <v>4</v>
      </c>
      <c r="G48" s="42">
        <v>4</v>
      </c>
      <c r="H48" s="42">
        <v>3</v>
      </c>
      <c r="I48" s="42">
        <v>4</v>
      </c>
      <c r="J48" s="42"/>
      <c r="K48"/>
    </row>
    <row r="49" spans="2:11" x14ac:dyDescent="0.2">
      <c r="D49" s="42"/>
      <c r="E49" s="42"/>
      <c r="F49" s="42"/>
      <c r="G49" s="42"/>
      <c r="H49" s="42"/>
      <c r="I49" s="42"/>
      <c r="J49" s="42"/>
      <c r="K49"/>
    </row>
    <row r="50" spans="2:11" x14ac:dyDescent="0.2">
      <c r="B50" s="47" t="s">
        <v>71</v>
      </c>
      <c r="C50" s="47" t="s">
        <v>228</v>
      </c>
      <c r="D50" s="42"/>
      <c r="E50" s="42"/>
      <c r="F50" s="42"/>
      <c r="G50" s="42"/>
      <c r="H50" s="42">
        <v>2</v>
      </c>
      <c r="I50" s="42"/>
      <c r="J50" s="42"/>
      <c r="K50"/>
    </row>
    <row r="51" spans="2:11" x14ac:dyDescent="0.2">
      <c r="D51" s="42"/>
      <c r="E51" s="42"/>
      <c r="F51" s="42"/>
      <c r="G51" s="42"/>
      <c r="H51" s="42"/>
      <c r="I51" s="42"/>
      <c r="J51" s="42"/>
      <c r="K51"/>
    </row>
    <row r="52" spans="2:11" ht="25.5" x14ac:dyDescent="0.2">
      <c r="B52" s="47" t="s">
        <v>54</v>
      </c>
      <c r="C52" s="47" t="s">
        <v>194</v>
      </c>
      <c r="D52" s="42"/>
      <c r="E52" s="42"/>
      <c r="F52" s="42">
        <v>1</v>
      </c>
      <c r="G52" s="42">
        <v>3</v>
      </c>
      <c r="H52" s="42">
        <v>2</v>
      </c>
      <c r="I52" s="42">
        <v>2</v>
      </c>
      <c r="J52" s="42"/>
      <c r="K52"/>
    </row>
    <row r="53" spans="2:11" x14ac:dyDescent="0.2">
      <c r="D53" s="42"/>
      <c r="E53" s="42"/>
      <c r="F53" s="42"/>
      <c r="G53" s="42"/>
      <c r="H53" s="42"/>
      <c r="I53" s="42"/>
      <c r="J53" s="42"/>
      <c r="K53"/>
    </row>
    <row r="54" spans="2:11" x14ac:dyDescent="0.2">
      <c r="B54" s="47" t="s">
        <v>55</v>
      </c>
      <c r="C54" s="47" t="s">
        <v>196</v>
      </c>
      <c r="D54" s="42"/>
      <c r="E54" s="42"/>
      <c r="F54" s="42">
        <v>1</v>
      </c>
      <c r="G54" s="42">
        <v>3</v>
      </c>
      <c r="H54" s="42">
        <v>1</v>
      </c>
      <c r="I54" s="42">
        <v>3</v>
      </c>
      <c r="J54" s="42"/>
      <c r="K54"/>
    </row>
    <row r="55" spans="2:11" x14ac:dyDescent="0.2">
      <c r="D55" s="42"/>
      <c r="E55" s="42"/>
      <c r="F55" s="42"/>
      <c r="G55" s="42"/>
      <c r="H55" s="42"/>
      <c r="I55" s="42"/>
      <c r="J55" s="42"/>
      <c r="K55"/>
    </row>
    <row r="56" spans="2:11" x14ac:dyDescent="0.2">
      <c r="B56" s="47" t="s">
        <v>56</v>
      </c>
      <c r="C56" s="47" t="s">
        <v>198</v>
      </c>
      <c r="D56" s="42"/>
      <c r="E56" s="42"/>
      <c r="F56" s="42">
        <v>3</v>
      </c>
      <c r="G56" s="42">
        <v>2</v>
      </c>
      <c r="H56" s="42">
        <v>3</v>
      </c>
      <c r="I56" s="42">
        <v>2</v>
      </c>
      <c r="J56" s="42"/>
      <c r="K56"/>
    </row>
    <row r="57" spans="2:11" x14ac:dyDescent="0.2">
      <c r="D57" s="42"/>
      <c r="E57" s="42"/>
      <c r="F57" s="42"/>
      <c r="G57" s="42"/>
      <c r="H57" s="42"/>
      <c r="I57" s="42"/>
      <c r="J57" s="42"/>
      <c r="K57"/>
    </row>
    <row r="58" spans="2:11" x14ac:dyDescent="0.2">
      <c r="B58" s="47" t="s">
        <v>57</v>
      </c>
      <c r="C58" s="47" t="s">
        <v>200</v>
      </c>
      <c r="D58" s="42"/>
      <c r="E58" s="42"/>
      <c r="F58" s="42">
        <v>2</v>
      </c>
      <c r="G58" s="42">
        <v>3</v>
      </c>
      <c r="H58" s="42">
        <v>1</v>
      </c>
      <c r="I58" s="42">
        <v>2</v>
      </c>
      <c r="J58" s="42"/>
      <c r="K58"/>
    </row>
    <row r="59" spans="2:11" x14ac:dyDescent="0.2">
      <c r="D59" s="42"/>
      <c r="E59" s="42"/>
      <c r="F59" s="42"/>
      <c r="G59" s="42"/>
      <c r="H59" s="42"/>
      <c r="I59" s="42"/>
      <c r="J59" s="42"/>
      <c r="K59"/>
    </row>
    <row r="60" spans="2:11" x14ac:dyDescent="0.2">
      <c r="B60" s="47" t="s">
        <v>58</v>
      </c>
      <c r="C60" s="47" t="s">
        <v>202</v>
      </c>
      <c r="D60" s="42"/>
      <c r="E60" s="42"/>
      <c r="F60" s="42">
        <v>2</v>
      </c>
      <c r="G60" s="42">
        <v>4</v>
      </c>
      <c r="H60" s="42">
        <v>3</v>
      </c>
      <c r="I60" s="42">
        <v>4</v>
      </c>
      <c r="J60" s="42"/>
      <c r="K60"/>
    </row>
    <row r="61" spans="2:11" x14ac:dyDescent="0.2">
      <c r="D61" s="42"/>
      <c r="E61" s="42"/>
      <c r="F61" s="42"/>
      <c r="G61" s="42"/>
      <c r="H61" s="42"/>
      <c r="I61" s="42"/>
      <c r="J61" s="42"/>
      <c r="K61"/>
    </row>
    <row r="62" spans="2:11" x14ac:dyDescent="0.2">
      <c r="B62" s="47" t="s">
        <v>59</v>
      </c>
      <c r="C62" s="47" t="s">
        <v>204</v>
      </c>
      <c r="D62" s="42"/>
      <c r="E62" s="42"/>
      <c r="F62" s="42">
        <v>1</v>
      </c>
      <c r="G62" s="42">
        <v>3</v>
      </c>
      <c r="H62" s="42">
        <v>2</v>
      </c>
      <c r="I62" s="42">
        <v>3</v>
      </c>
      <c r="J62" s="42"/>
      <c r="K62"/>
    </row>
    <row r="63" spans="2:11" x14ac:dyDescent="0.2">
      <c r="D63" s="42"/>
      <c r="E63" s="42"/>
      <c r="F63" s="42"/>
      <c r="G63" s="42"/>
      <c r="H63" s="42"/>
      <c r="I63" s="42"/>
      <c r="J63" s="42"/>
      <c r="K63"/>
    </row>
    <row r="64" spans="2:11" ht="25.5" x14ac:dyDescent="0.2">
      <c r="B64" s="47" t="s">
        <v>60</v>
      </c>
      <c r="C64" s="47" t="s">
        <v>206</v>
      </c>
      <c r="D64" s="42"/>
      <c r="E64" s="42"/>
      <c r="F64" s="42">
        <v>2</v>
      </c>
      <c r="G64" s="42">
        <v>2</v>
      </c>
      <c r="H64" s="42"/>
      <c r="I64" s="42">
        <v>2</v>
      </c>
      <c r="J64" s="42"/>
      <c r="K64"/>
    </row>
    <row r="65" spans="2:11" x14ac:dyDescent="0.2">
      <c r="B65"/>
      <c r="C65"/>
      <c r="D65"/>
      <c r="E65"/>
      <c r="F65"/>
      <c r="G65"/>
      <c r="H65"/>
      <c r="I65"/>
      <c r="J65" s="43"/>
      <c r="K65" s="43"/>
    </row>
    <row r="66" spans="2:11" x14ac:dyDescent="0.2">
      <c r="B66"/>
      <c r="C66"/>
      <c r="D66"/>
      <c r="E66"/>
      <c r="F66"/>
      <c r="G66"/>
      <c r="H66"/>
      <c r="I66"/>
      <c r="J66" s="43"/>
      <c r="K66" s="43"/>
    </row>
    <row r="67" spans="2:11" x14ac:dyDescent="0.2">
      <c r="B67"/>
      <c r="C67"/>
      <c r="D67"/>
      <c r="E67"/>
      <c r="F67"/>
      <c r="G67"/>
      <c r="H67"/>
      <c r="I67"/>
      <c r="J67" s="43"/>
      <c r="K67" s="43"/>
    </row>
    <row r="68" spans="2:11" x14ac:dyDescent="0.2">
      <c r="B68"/>
      <c r="C68"/>
      <c r="D68"/>
      <c r="E68"/>
      <c r="F68"/>
      <c r="G68"/>
      <c r="H68"/>
      <c r="I68"/>
      <c r="J68" s="43"/>
      <c r="K68" s="43"/>
    </row>
    <row r="69" spans="2:11" x14ac:dyDescent="0.2">
      <c r="B69"/>
      <c r="C69"/>
      <c r="D69"/>
      <c r="E69"/>
      <c r="F69"/>
      <c r="G69"/>
      <c r="H69"/>
      <c r="I69"/>
      <c r="J69" s="43"/>
      <c r="K69" s="43"/>
    </row>
    <row r="70" spans="2:11" x14ac:dyDescent="0.2">
      <c r="B70"/>
      <c r="C70"/>
      <c r="D70"/>
      <c r="E70"/>
      <c r="F70"/>
      <c r="G70"/>
      <c r="H70"/>
      <c r="I70"/>
      <c r="J70" s="43"/>
      <c r="K70" s="43"/>
    </row>
    <row r="71" spans="2:11" x14ac:dyDescent="0.2">
      <c r="B71"/>
      <c r="C71"/>
      <c r="D71"/>
      <c r="E71"/>
      <c r="F71"/>
      <c r="G71"/>
      <c r="H71"/>
      <c r="I71"/>
      <c r="J71" s="43"/>
      <c r="K71" s="43"/>
    </row>
    <row r="72" spans="2:11" x14ac:dyDescent="0.2">
      <c r="B72"/>
      <c r="C72"/>
      <c r="D72"/>
      <c r="E72"/>
      <c r="F72"/>
      <c r="G72"/>
      <c r="H72"/>
      <c r="I72"/>
      <c r="J72" s="43"/>
      <c r="K72" s="43"/>
    </row>
    <row r="73" spans="2:11" x14ac:dyDescent="0.2">
      <c r="B73"/>
      <c r="C73"/>
      <c r="D73"/>
      <c r="E73"/>
      <c r="F73"/>
      <c r="G73"/>
      <c r="H73"/>
      <c r="I73"/>
      <c r="J73" s="43"/>
      <c r="K73" s="43"/>
    </row>
    <row r="74" spans="2:11" x14ac:dyDescent="0.2">
      <c r="B74"/>
      <c r="C74"/>
      <c r="D74"/>
      <c r="E74"/>
      <c r="F74"/>
      <c r="G74"/>
      <c r="H74"/>
      <c r="I74"/>
      <c r="J74" s="43"/>
      <c r="K74" s="43"/>
    </row>
    <row r="75" spans="2:11" x14ac:dyDescent="0.2">
      <c r="B75"/>
      <c r="C75"/>
      <c r="D75"/>
      <c r="E75"/>
      <c r="F75"/>
      <c r="G75"/>
      <c r="H75"/>
      <c r="I75"/>
      <c r="J75" s="43"/>
      <c r="K75" s="43"/>
    </row>
    <row r="76" spans="2:11" x14ac:dyDescent="0.2">
      <c r="B76"/>
      <c r="C76"/>
      <c r="D76"/>
      <c r="E76"/>
      <c r="F76"/>
      <c r="G76"/>
      <c r="H76"/>
      <c r="I76"/>
      <c r="J76" s="43"/>
      <c r="K76" s="43"/>
    </row>
    <row r="77" spans="2:11" x14ac:dyDescent="0.2">
      <c r="B77"/>
      <c r="C77"/>
      <c r="D77"/>
      <c r="E77"/>
      <c r="F77"/>
      <c r="G77"/>
      <c r="H77"/>
      <c r="I77"/>
      <c r="J77" s="43"/>
      <c r="K77" s="43"/>
    </row>
    <row r="78" spans="2:11" x14ac:dyDescent="0.2">
      <c r="B78"/>
      <c r="C78"/>
      <c r="D78"/>
      <c r="E78"/>
      <c r="F78"/>
      <c r="G78"/>
      <c r="H78"/>
      <c r="I78"/>
      <c r="J78" s="43"/>
      <c r="K78" s="43"/>
    </row>
    <row r="79" spans="2:11" x14ac:dyDescent="0.2">
      <c r="B79"/>
      <c r="C79"/>
      <c r="D79"/>
      <c r="E79"/>
      <c r="F79"/>
      <c r="G79"/>
      <c r="H79"/>
      <c r="I79"/>
      <c r="J79" s="43"/>
      <c r="K79" s="43"/>
    </row>
    <row r="80" spans="2:11" x14ac:dyDescent="0.2">
      <c r="B80" s="43"/>
      <c r="C80" s="43"/>
      <c r="D80" s="43"/>
      <c r="E80" s="43"/>
      <c r="F80" s="43"/>
      <c r="G80" s="43"/>
      <c r="H80" s="43"/>
      <c r="I80" s="43"/>
      <c r="J80" s="43"/>
      <c r="K80" s="43"/>
    </row>
    <row r="81" spans="2:11" x14ac:dyDescent="0.2">
      <c r="B81" s="43"/>
      <c r="C81" s="43"/>
      <c r="D81" s="43"/>
      <c r="E81" s="43"/>
      <c r="F81" s="43"/>
      <c r="G81" s="43"/>
      <c r="H81" s="43"/>
      <c r="I81" s="43"/>
      <c r="J81" s="43"/>
      <c r="K81" s="43"/>
    </row>
    <row r="82" spans="2:11" x14ac:dyDescent="0.2">
      <c r="B82" s="43"/>
      <c r="C82" s="43"/>
      <c r="D82" s="43"/>
      <c r="E82" s="43"/>
      <c r="F82" s="43"/>
      <c r="G82" s="43"/>
      <c r="H82" s="43"/>
      <c r="I82" s="43"/>
      <c r="J82" s="43"/>
      <c r="K82" s="43"/>
    </row>
    <row r="83" spans="2:11" x14ac:dyDescent="0.2">
      <c r="B83" s="43"/>
      <c r="C83" s="43"/>
      <c r="D83" s="43"/>
      <c r="E83" s="43"/>
      <c r="F83" s="43"/>
      <c r="G83" s="43"/>
      <c r="H83" s="43"/>
      <c r="I83" s="43"/>
      <c r="J83" s="43"/>
      <c r="K83" s="43"/>
    </row>
    <row r="84" spans="2:11" x14ac:dyDescent="0.2">
      <c r="B84" s="43"/>
      <c r="C84" s="43"/>
      <c r="D84" s="43"/>
      <c r="E84" s="43"/>
      <c r="F84" s="43"/>
      <c r="G84" s="43"/>
      <c r="H84" s="43"/>
      <c r="I84" s="43"/>
      <c r="J84" s="43"/>
      <c r="K84" s="43"/>
    </row>
    <row r="85" spans="2:11" x14ac:dyDescent="0.2">
      <c r="B85" s="43"/>
      <c r="C85" s="43"/>
      <c r="D85" s="43"/>
      <c r="E85" s="43"/>
      <c r="F85" s="43"/>
      <c r="G85" s="43"/>
      <c r="H85" s="43"/>
      <c r="I85" s="43"/>
      <c r="J85" s="43"/>
      <c r="K85" s="43"/>
    </row>
    <row r="86" spans="2:11" x14ac:dyDescent="0.2">
      <c r="B86" s="43"/>
      <c r="C86" s="43"/>
      <c r="D86" s="43"/>
      <c r="E86" s="43"/>
      <c r="F86" s="43"/>
      <c r="G86" s="43"/>
      <c r="H86" s="43"/>
      <c r="I86" s="43"/>
      <c r="J86" s="43"/>
      <c r="K86" s="43"/>
    </row>
    <row r="87" spans="2:11" x14ac:dyDescent="0.2">
      <c r="B87" s="43"/>
      <c r="C87" s="43"/>
      <c r="D87" s="43"/>
      <c r="E87" s="43"/>
      <c r="F87" s="43"/>
      <c r="G87" s="43"/>
      <c r="H87" s="43"/>
      <c r="I87" s="43"/>
      <c r="J87" s="43"/>
      <c r="K87" s="43"/>
    </row>
    <row r="88" spans="2:11" x14ac:dyDescent="0.2">
      <c r="B88" s="43"/>
      <c r="C88" s="43"/>
      <c r="D88" s="43"/>
      <c r="E88" s="43"/>
      <c r="F88" s="43"/>
      <c r="G88" s="43"/>
      <c r="H88" s="43"/>
      <c r="I88" s="43"/>
      <c r="J88" s="43"/>
      <c r="K88" s="43"/>
    </row>
    <row r="89" spans="2:11" x14ac:dyDescent="0.2">
      <c r="B89" s="43"/>
      <c r="C89" s="43"/>
      <c r="D89" s="43"/>
      <c r="E89" s="43"/>
      <c r="F89" s="43"/>
      <c r="G89" s="43"/>
      <c r="H89" s="43"/>
      <c r="I89" s="43"/>
      <c r="J89" s="43"/>
      <c r="K89" s="43"/>
    </row>
    <row r="90" spans="2:11" x14ac:dyDescent="0.2">
      <c r="B90" s="43"/>
      <c r="C90" s="43"/>
      <c r="D90" s="43"/>
      <c r="E90" s="43"/>
      <c r="F90" s="43"/>
      <c r="G90" s="43"/>
      <c r="H90" s="43"/>
      <c r="I90" s="43"/>
      <c r="J90" s="43"/>
      <c r="K90" s="43"/>
    </row>
    <row r="91" spans="2:11" x14ac:dyDescent="0.2">
      <c r="B91" s="43"/>
      <c r="C91" s="43"/>
      <c r="D91" s="43"/>
      <c r="E91" s="43"/>
      <c r="F91" s="43"/>
      <c r="G91" s="43"/>
      <c r="H91" s="43"/>
      <c r="I91" s="43"/>
      <c r="J91" s="43"/>
      <c r="K91" s="43"/>
    </row>
    <row r="92" spans="2:11" x14ac:dyDescent="0.2">
      <c r="B92" s="43"/>
      <c r="C92" s="43"/>
      <c r="D92" s="43"/>
      <c r="E92" s="43"/>
      <c r="F92" s="43"/>
      <c r="G92" s="43"/>
      <c r="H92" s="43"/>
      <c r="I92" s="43"/>
      <c r="J92" s="43"/>
      <c r="K92" s="43"/>
    </row>
    <row r="93" spans="2:11" x14ac:dyDescent="0.2">
      <c r="B93" s="43"/>
      <c r="C93" s="43"/>
      <c r="D93" s="43"/>
      <c r="E93" s="43"/>
      <c r="F93" s="43"/>
      <c r="G93" s="43"/>
      <c r="H93" s="43"/>
      <c r="I93" s="43"/>
      <c r="J93" s="43"/>
      <c r="K93" s="43"/>
    </row>
    <row r="94" spans="2:11" x14ac:dyDescent="0.2">
      <c r="B94" s="43"/>
      <c r="C94" s="43"/>
      <c r="D94" s="43"/>
      <c r="E94" s="43"/>
      <c r="F94" s="43"/>
      <c r="G94" s="43"/>
      <c r="H94" s="43"/>
      <c r="I94" s="43"/>
      <c r="J94" s="43"/>
      <c r="K94" s="43"/>
    </row>
    <row r="95" spans="2:11" x14ac:dyDescent="0.2">
      <c r="B95" s="43"/>
      <c r="C95" s="43"/>
      <c r="D95" s="43"/>
      <c r="E95" s="43"/>
      <c r="F95" s="43"/>
      <c r="G95" s="43"/>
      <c r="H95" s="43"/>
      <c r="I95" s="43"/>
      <c r="J95" s="43"/>
      <c r="K95" s="43"/>
    </row>
    <row r="96" spans="2:11" x14ac:dyDescent="0.2">
      <c r="B96" s="43"/>
      <c r="C96" s="43"/>
      <c r="D96" s="43"/>
      <c r="E96" s="43"/>
      <c r="F96" s="43"/>
      <c r="G96" s="43"/>
      <c r="H96" s="43"/>
      <c r="I96" s="43"/>
      <c r="J96" s="43"/>
      <c r="K96" s="43"/>
    </row>
    <row r="97" spans="2:11" x14ac:dyDescent="0.2">
      <c r="B97" s="43"/>
      <c r="C97" s="43"/>
      <c r="D97" s="43"/>
      <c r="E97" s="43"/>
      <c r="F97" s="43"/>
      <c r="G97" s="43"/>
      <c r="H97" s="43"/>
      <c r="I97" s="43"/>
      <c r="J97" s="43"/>
      <c r="K97" s="43"/>
    </row>
    <row r="98" spans="2:11" x14ac:dyDescent="0.2">
      <c r="B98" s="43"/>
      <c r="C98" s="43"/>
      <c r="D98" s="43"/>
      <c r="E98" s="43"/>
      <c r="F98" s="43"/>
      <c r="G98" s="43"/>
      <c r="H98" s="43"/>
      <c r="I98" s="43"/>
      <c r="J98" s="43"/>
      <c r="K98" s="43"/>
    </row>
    <row r="99" spans="2:11" x14ac:dyDescent="0.2">
      <c r="B99" s="43"/>
      <c r="C99" s="43"/>
      <c r="D99" s="43"/>
      <c r="E99" s="43"/>
      <c r="F99" s="43"/>
      <c r="G99" s="43"/>
      <c r="H99" s="43"/>
      <c r="I99" s="43"/>
      <c r="J99" s="43"/>
      <c r="K99" s="43"/>
    </row>
    <row r="100" spans="2:11" x14ac:dyDescent="0.2">
      <c r="B100" s="43"/>
      <c r="C100" s="43"/>
      <c r="D100" s="43"/>
      <c r="E100" s="43"/>
      <c r="F100" s="43"/>
      <c r="G100" s="43"/>
      <c r="H100" s="43"/>
      <c r="I100" s="43"/>
      <c r="J100" s="43"/>
      <c r="K100" s="43"/>
    </row>
    <row r="101" spans="2:11" x14ac:dyDescent="0.2">
      <c r="B101" s="43"/>
      <c r="C101" s="43"/>
      <c r="D101" s="43"/>
      <c r="E101" s="43"/>
      <c r="F101" s="43"/>
      <c r="G101" s="43"/>
      <c r="H101" s="43"/>
      <c r="I101" s="43"/>
      <c r="J101" s="43"/>
      <c r="K101" s="43"/>
    </row>
    <row r="102" spans="2:11" x14ac:dyDescent="0.2">
      <c r="B102" s="43"/>
      <c r="C102" s="43"/>
      <c r="D102" s="43"/>
      <c r="E102" s="43"/>
      <c r="F102" s="43"/>
      <c r="G102" s="43"/>
      <c r="H102" s="43"/>
      <c r="I102" s="43"/>
      <c r="J102" s="43"/>
      <c r="K102" s="43"/>
    </row>
    <row r="103" spans="2:11" x14ac:dyDescent="0.2">
      <c r="B103" s="43"/>
      <c r="C103" s="43"/>
      <c r="D103" s="43"/>
      <c r="E103" s="43"/>
      <c r="F103" s="43"/>
      <c r="G103" s="43"/>
      <c r="H103" s="43"/>
      <c r="I103" s="43"/>
      <c r="J103" s="43"/>
      <c r="K103" s="43"/>
    </row>
    <row r="104" spans="2:11" x14ac:dyDescent="0.2">
      <c r="B104" s="43"/>
      <c r="C104" s="43"/>
      <c r="D104" s="43"/>
      <c r="E104" s="43"/>
      <c r="F104" s="43"/>
      <c r="G104" s="43"/>
      <c r="H104" s="43"/>
      <c r="I104" s="43"/>
      <c r="J104" s="43"/>
      <c r="K104" s="43"/>
    </row>
    <row r="105" spans="2:11" x14ac:dyDescent="0.2">
      <c r="B105" s="43"/>
      <c r="C105" s="43"/>
      <c r="D105" s="43"/>
      <c r="E105" s="43"/>
      <c r="F105" s="43"/>
      <c r="G105" s="43"/>
      <c r="H105" s="43"/>
      <c r="I105" s="43"/>
      <c r="J105" s="43"/>
      <c r="K105" s="43"/>
    </row>
    <row r="106" spans="2:11" x14ac:dyDescent="0.2">
      <c r="B106" s="43"/>
      <c r="C106" s="43"/>
      <c r="D106" s="43"/>
      <c r="E106" s="43"/>
      <c r="F106" s="43"/>
      <c r="G106" s="43"/>
      <c r="H106" s="43"/>
      <c r="I106" s="43"/>
      <c r="J106" s="43"/>
      <c r="K106" s="43"/>
    </row>
    <row r="107" spans="2:11" x14ac:dyDescent="0.2">
      <c r="B107" s="43"/>
      <c r="C107" s="43"/>
      <c r="D107" s="43"/>
      <c r="E107" s="43"/>
      <c r="F107" s="43"/>
      <c r="G107" s="43"/>
      <c r="H107" s="43"/>
      <c r="I107" s="43"/>
      <c r="J107" s="43"/>
      <c r="K107" s="43"/>
    </row>
    <row r="108" spans="2:11" x14ac:dyDescent="0.2">
      <c r="B108" s="43"/>
      <c r="C108" s="43"/>
      <c r="D108" s="43"/>
      <c r="E108" s="43"/>
      <c r="F108" s="43"/>
      <c r="G108" s="43"/>
      <c r="H108" s="43"/>
      <c r="I108" s="43"/>
      <c r="J108" s="43"/>
      <c r="K108" s="43"/>
    </row>
  </sheetData>
  <mergeCells count="1">
    <mergeCell ref="A1:P1"/>
  </mergeCells>
  <pageMargins left="0.7" right="0.7" top="0.75" bottom="0.75" header="0.3" footer="0.3"/>
  <pageSetup orientation="portrait" horizontalDpi="360" verticalDpi="360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B021C-1EFA-49E3-B76D-BFD7521B1069}">
  <sheetPr>
    <tabColor theme="4"/>
  </sheetPr>
  <dimension ref="A1:IM346"/>
  <sheetViews>
    <sheetView showGridLines="0" zoomScale="80" zoomScaleNormal="80" workbookViewId="0">
      <selection activeCell="E20" sqref="E20"/>
    </sheetView>
  </sheetViews>
  <sheetFormatPr baseColWidth="10" defaultColWidth="11.42578125" defaultRowHeight="12.75" x14ac:dyDescent="0.2"/>
  <cols>
    <col min="1" max="1" width="5" style="47" customWidth="1"/>
    <col min="2" max="2" width="14.140625" style="47" bestFit="1" customWidth="1"/>
    <col min="3" max="3" width="37.7109375" style="47" bestFit="1" customWidth="1"/>
    <col min="4" max="4" width="12.7109375" style="44" bestFit="1" customWidth="1"/>
    <col min="5" max="5" width="12.28515625" style="47" bestFit="1" customWidth="1"/>
    <col min="6" max="6" width="7.28515625" style="47" bestFit="1" customWidth="1"/>
    <col min="7" max="7" width="8.7109375" style="47" bestFit="1" customWidth="1"/>
    <col min="8" max="8" width="8.42578125" style="47" bestFit="1" customWidth="1"/>
    <col min="9" max="9" width="7.85546875" style="47" bestFit="1" customWidth="1"/>
    <col min="10" max="10" width="8.7109375" style="47" bestFit="1" customWidth="1"/>
    <col min="11" max="11" width="8.42578125" style="47" bestFit="1" customWidth="1"/>
    <col min="12" max="12" width="7.85546875" style="47" bestFit="1" customWidth="1"/>
    <col min="13" max="13" width="7.28515625" style="47" bestFit="1" customWidth="1"/>
    <col min="14" max="14" width="23.140625" style="47" bestFit="1" customWidth="1"/>
    <col min="15" max="15" width="28.7109375" style="47" bestFit="1" customWidth="1"/>
    <col min="16" max="16" width="23.140625" style="47" bestFit="1" customWidth="1"/>
    <col min="17" max="17" width="28.7109375" style="47" bestFit="1" customWidth="1"/>
    <col min="18" max="18" width="23.140625" style="47" bestFit="1" customWidth="1"/>
    <col min="19" max="19" width="28.7109375" style="47" bestFit="1" customWidth="1"/>
    <col min="20" max="20" width="23.140625" style="47" bestFit="1" customWidth="1"/>
    <col min="21" max="22" width="28.7109375" style="47" bestFit="1" customWidth="1"/>
    <col min="23" max="23" width="30.7109375" style="47" bestFit="1" customWidth="1"/>
    <col min="24" max="30" width="8.7109375" style="47" bestFit="1" customWidth="1"/>
    <col min="31" max="31" width="13.140625" style="47" bestFit="1" customWidth="1"/>
    <col min="32" max="246" width="23.85546875" style="47" bestFit="1" customWidth="1"/>
    <col min="247" max="247" width="12.5703125" style="47" bestFit="1" customWidth="1"/>
    <col min="248" max="16384" width="11.42578125" style="47"/>
  </cols>
  <sheetData>
    <row r="1" spans="1:30" ht="28.5" x14ac:dyDescent="0.45">
      <c r="A1" s="181" t="s">
        <v>432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</row>
    <row r="5" spans="1:30" ht="25.5" x14ac:dyDescent="0.2">
      <c r="B5" s="46" t="s">
        <v>365</v>
      </c>
      <c r="C5" s="46" t="s">
        <v>366</v>
      </c>
      <c r="D5" s="81" t="s">
        <v>367</v>
      </c>
      <c r="E5" s="47" t="s">
        <v>370</v>
      </c>
      <c r="F5"/>
    </row>
    <row r="6" spans="1:30" x14ac:dyDescent="0.2">
      <c r="B6" s="47" t="s">
        <v>282</v>
      </c>
      <c r="C6" s="43" t="s">
        <v>167</v>
      </c>
      <c r="D6" s="44" t="s">
        <v>129</v>
      </c>
      <c r="E6" s="80">
        <v>79000</v>
      </c>
      <c r="F6"/>
    </row>
    <row r="7" spans="1:30" x14ac:dyDescent="0.2">
      <c r="B7" s="47" t="s">
        <v>283</v>
      </c>
      <c r="C7" s="43" t="s">
        <v>159</v>
      </c>
      <c r="D7" s="44" t="s">
        <v>129</v>
      </c>
      <c r="E7" s="80">
        <v>98000</v>
      </c>
      <c r="F7"/>
    </row>
    <row r="8" spans="1:30" x14ac:dyDescent="0.2">
      <c r="B8" s="47" t="s">
        <v>284</v>
      </c>
      <c r="C8" s="43" t="s">
        <v>285</v>
      </c>
      <c r="D8" s="44" t="s">
        <v>129</v>
      </c>
      <c r="E8" s="80">
        <v>88000</v>
      </c>
      <c r="F8"/>
    </row>
    <row r="9" spans="1:30" x14ac:dyDescent="0.2">
      <c r="B9" s="47" t="s">
        <v>286</v>
      </c>
      <c r="C9" s="43" t="s">
        <v>287</v>
      </c>
      <c r="D9" s="44" t="s">
        <v>129</v>
      </c>
      <c r="E9" s="80">
        <v>87000</v>
      </c>
      <c r="F9"/>
    </row>
    <row r="10" spans="1:30" x14ac:dyDescent="0.2">
      <c r="B10" s="47" t="s">
        <v>288</v>
      </c>
      <c r="C10" s="43" t="s">
        <v>175</v>
      </c>
      <c r="D10" s="44" t="s">
        <v>129</v>
      </c>
      <c r="E10" s="80">
        <v>89000</v>
      </c>
      <c r="F10"/>
    </row>
    <row r="11" spans="1:30" x14ac:dyDescent="0.2">
      <c r="B11" s="47" t="s">
        <v>289</v>
      </c>
      <c r="C11" s="43" t="s">
        <v>178</v>
      </c>
      <c r="D11" s="44" t="s">
        <v>129</v>
      </c>
      <c r="E11" s="80">
        <v>56000</v>
      </c>
      <c r="F11"/>
    </row>
    <row r="12" spans="1:30" x14ac:dyDescent="0.2">
      <c r="B12" s="47" t="s">
        <v>265</v>
      </c>
      <c r="C12" s="43" t="s">
        <v>141</v>
      </c>
      <c r="D12" s="44" t="s">
        <v>129</v>
      </c>
      <c r="E12" s="80">
        <v>23000</v>
      </c>
      <c r="F12"/>
    </row>
    <row r="13" spans="1:30" x14ac:dyDescent="0.2">
      <c r="B13" s="47" t="s">
        <v>266</v>
      </c>
      <c r="C13" s="43" t="s">
        <v>143</v>
      </c>
      <c r="D13" s="44" t="s">
        <v>129</v>
      </c>
      <c r="E13" s="80">
        <v>111000</v>
      </c>
      <c r="F13"/>
    </row>
    <row r="14" spans="1:30" x14ac:dyDescent="0.2">
      <c r="B14" s="47" t="s">
        <v>269</v>
      </c>
      <c r="C14" s="43" t="s">
        <v>270</v>
      </c>
      <c r="D14" s="44" t="s">
        <v>129</v>
      </c>
      <c r="E14" s="80">
        <v>21000</v>
      </c>
      <c r="F14"/>
    </row>
    <row r="15" spans="1:30" x14ac:dyDescent="0.2">
      <c r="B15" s="47" t="s">
        <v>267</v>
      </c>
      <c r="C15" s="43" t="s">
        <v>268</v>
      </c>
      <c r="D15" s="44" t="s">
        <v>22</v>
      </c>
      <c r="E15" s="80">
        <v>0</v>
      </c>
      <c r="F15"/>
    </row>
    <row r="16" spans="1:30" x14ac:dyDescent="0.2">
      <c r="B16" s="47" t="s">
        <v>271</v>
      </c>
      <c r="C16" s="43" t="s">
        <v>146</v>
      </c>
      <c r="D16" s="44" t="s">
        <v>129</v>
      </c>
      <c r="E16" s="80">
        <v>60000</v>
      </c>
      <c r="F16"/>
    </row>
    <row r="17" spans="2:6" x14ac:dyDescent="0.2">
      <c r="B17" s="47" t="s">
        <v>273</v>
      </c>
      <c r="C17" s="43" t="s">
        <v>274</v>
      </c>
      <c r="D17" s="44" t="s">
        <v>129</v>
      </c>
      <c r="E17" s="80">
        <v>40000</v>
      </c>
      <c r="F17"/>
    </row>
    <row r="18" spans="2:6" x14ac:dyDescent="0.2">
      <c r="B18" s="47" t="s">
        <v>272</v>
      </c>
      <c r="C18" s="43" t="s">
        <v>149</v>
      </c>
      <c r="D18" s="44" t="s">
        <v>22</v>
      </c>
      <c r="E18" s="80">
        <v>0</v>
      </c>
      <c r="F18"/>
    </row>
    <row r="19" spans="2:6" x14ac:dyDescent="0.2">
      <c r="B19" s="47" t="s">
        <v>275</v>
      </c>
      <c r="C19" s="43" t="s">
        <v>150</v>
      </c>
      <c r="D19" s="44" t="s">
        <v>129</v>
      </c>
      <c r="E19" s="80">
        <v>99000</v>
      </c>
      <c r="F19"/>
    </row>
    <row r="20" spans="2:6" x14ac:dyDescent="0.2">
      <c r="B20" s="47" t="s">
        <v>276</v>
      </c>
      <c r="C20" s="43" t="s">
        <v>152</v>
      </c>
      <c r="D20" s="44" t="s">
        <v>129</v>
      </c>
      <c r="E20" s="80">
        <v>44000</v>
      </c>
      <c r="F20"/>
    </row>
    <row r="21" spans="2:6" x14ac:dyDescent="0.2">
      <c r="B21" s="47" t="s">
        <v>277</v>
      </c>
      <c r="C21" s="43" t="s">
        <v>153</v>
      </c>
      <c r="D21" s="44" t="s">
        <v>129</v>
      </c>
      <c r="E21" s="80">
        <v>67000</v>
      </c>
      <c r="F21"/>
    </row>
    <row r="22" spans="2:6" x14ac:dyDescent="0.2">
      <c r="B22" s="47" t="s">
        <v>278</v>
      </c>
      <c r="C22" s="43" t="s">
        <v>154</v>
      </c>
      <c r="D22" s="44" t="s">
        <v>129</v>
      </c>
      <c r="E22" s="80">
        <v>8000</v>
      </c>
      <c r="F22"/>
    </row>
    <row r="23" spans="2:6" x14ac:dyDescent="0.2">
      <c r="B23" s="47" t="s">
        <v>279</v>
      </c>
      <c r="C23" s="43" t="s">
        <v>155</v>
      </c>
      <c r="D23" s="44" t="s">
        <v>129</v>
      </c>
      <c r="E23" s="80">
        <v>33000</v>
      </c>
      <c r="F23"/>
    </row>
    <row r="24" spans="2:6" x14ac:dyDescent="0.2">
      <c r="B24" s="47" t="s">
        <v>245</v>
      </c>
      <c r="C24" s="43" t="s">
        <v>246</v>
      </c>
      <c r="D24" s="44" t="s">
        <v>129</v>
      </c>
      <c r="E24" s="80">
        <v>20000</v>
      </c>
      <c r="F24"/>
    </row>
    <row r="25" spans="2:6" x14ac:dyDescent="0.2">
      <c r="B25" s="47" t="s">
        <v>241</v>
      </c>
      <c r="C25" s="43" t="s">
        <v>242</v>
      </c>
      <c r="D25" s="44" t="s">
        <v>22</v>
      </c>
      <c r="E25" s="80">
        <v>0</v>
      </c>
      <c r="F25"/>
    </row>
    <row r="26" spans="2:6" x14ac:dyDescent="0.2">
      <c r="B26" s="47" t="s">
        <v>243</v>
      </c>
      <c r="C26" s="43" t="s">
        <v>244</v>
      </c>
      <c r="D26" s="44" t="s">
        <v>22</v>
      </c>
      <c r="E26" s="80">
        <v>0</v>
      </c>
      <c r="F26"/>
    </row>
    <row r="27" spans="2:6" x14ac:dyDescent="0.2">
      <c r="B27" s="47" t="s">
        <v>247</v>
      </c>
      <c r="C27" s="43" t="s">
        <v>128</v>
      </c>
      <c r="D27" s="44" t="s">
        <v>129</v>
      </c>
      <c r="E27" s="80">
        <v>90000</v>
      </c>
      <c r="F27"/>
    </row>
    <row r="28" spans="2:6" x14ac:dyDescent="0.2">
      <c r="B28" s="47" t="s">
        <v>280</v>
      </c>
      <c r="C28" s="43" t="s">
        <v>156</v>
      </c>
      <c r="D28" s="44" t="s">
        <v>129</v>
      </c>
      <c r="E28" s="80">
        <v>22000</v>
      </c>
      <c r="F28"/>
    </row>
    <row r="29" spans="2:6" x14ac:dyDescent="0.2">
      <c r="B29" s="47" t="s">
        <v>281</v>
      </c>
      <c r="C29" s="43" t="s">
        <v>157</v>
      </c>
      <c r="D29" s="44" t="s">
        <v>129</v>
      </c>
      <c r="E29" s="80">
        <v>90000</v>
      </c>
      <c r="F29"/>
    </row>
    <row r="30" spans="2:6" x14ac:dyDescent="0.2">
      <c r="B30" s="47" t="s">
        <v>248</v>
      </c>
      <c r="C30" s="43" t="s">
        <v>130</v>
      </c>
      <c r="D30" s="44" t="s">
        <v>22</v>
      </c>
      <c r="E30" s="80">
        <v>0</v>
      </c>
      <c r="F30"/>
    </row>
    <row r="31" spans="2:6" x14ac:dyDescent="0.2">
      <c r="B31" s="47" t="s">
        <v>249</v>
      </c>
      <c r="C31" s="43" t="s">
        <v>131</v>
      </c>
      <c r="D31" s="44" t="s">
        <v>129</v>
      </c>
      <c r="E31" s="80">
        <v>87000</v>
      </c>
      <c r="F31"/>
    </row>
    <row r="32" spans="2:6" x14ac:dyDescent="0.2">
      <c r="B32" s="47" t="s">
        <v>254</v>
      </c>
      <c r="C32" s="43" t="s">
        <v>255</v>
      </c>
      <c r="D32" s="44" t="s">
        <v>22</v>
      </c>
      <c r="E32" s="80">
        <v>0</v>
      </c>
      <c r="F32"/>
    </row>
    <row r="33" spans="2:247" x14ac:dyDescent="0.2">
      <c r="B33" s="47" t="s">
        <v>250</v>
      </c>
      <c r="C33" s="43" t="s">
        <v>251</v>
      </c>
      <c r="D33" s="44" t="s">
        <v>22</v>
      </c>
      <c r="E33" s="80">
        <v>0</v>
      </c>
      <c r="F33"/>
    </row>
    <row r="34" spans="2:247" x14ac:dyDescent="0.2">
      <c r="B34" s="47" t="s">
        <v>252</v>
      </c>
      <c r="C34" s="43" t="s">
        <v>253</v>
      </c>
      <c r="D34" s="44" t="s">
        <v>129</v>
      </c>
      <c r="E34" s="80">
        <v>20000</v>
      </c>
      <c r="F34"/>
    </row>
    <row r="35" spans="2:247" x14ac:dyDescent="0.2">
      <c r="B35" s="47" t="s">
        <v>260</v>
      </c>
      <c r="C35" s="43" t="s">
        <v>261</v>
      </c>
      <c r="D35" s="44" t="s">
        <v>22</v>
      </c>
      <c r="E35" s="80">
        <v>0</v>
      </c>
      <c r="F35"/>
    </row>
    <row r="36" spans="2:247" x14ac:dyDescent="0.2">
      <c r="B36" s="47" t="s">
        <v>256</v>
      </c>
      <c r="C36" s="43" t="s">
        <v>257</v>
      </c>
      <c r="D36" s="44" t="s">
        <v>22</v>
      </c>
      <c r="E36" s="80">
        <v>0</v>
      </c>
      <c r="F36"/>
    </row>
    <row r="37" spans="2:247" x14ac:dyDescent="0.2">
      <c r="B37" s="47" t="s">
        <v>258</v>
      </c>
      <c r="C37" s="43" t="s">
        <v>259</v>
      </c>
      <c r="D37" s="44" t="s">
        <v>129</v>
      </c>
      <c r="E37" s="80">
        <v>40000</v>
      </c>
      <c r="F37"/>
    </row>
    <row r="38" spans="2:247" x14ac:dyDescent="0.2">
      <c r="B38" s="47" t="s">
        <v>262</v>
      </c>
      <c r="C38" s="43" t="s">
        <v>136</v>
      </c>
      <c r="D38" s="44" t="s">
        <v>22</v>
      </c>
      <c r="E38" s="80">
        <v>0</v>
      </c>
      <c r="F38"/>
    </row>
    <row r="39" spans="2:247" x14ac:dyDescent="0.2">
      <c r="B39" s="47" t="s">
        <v>263</v>
      </c>
      <c r="C39" s="43" t="s">
        <v>137</v>
      </c>
      <c r="D39" s="44" t="s">
        <v>129</v>
      </c>
      <c r="E39" s="80">
        <v>56000</v>
      </c>
      <c r="F39"/>
    </row>
    <row r="40" spans="2:247" x14ac:dyDescent="0.2">
      <c r="B40" s="47" t="s">
        <v>264</v>
      </c>
      <c r="C40" s="43" t="s">
        <v>139</v>
      </c>
      <c r="D40" s="44" t="s">
        <v>129</v>
      </c>
      <c r="E40" s="80">
        <v>43000</v>
      </c>
      <c r="F40"/>
    </row>
    <row r="41" spans="2:247" x14ac:dyDescent="0.2">
      <c r="B41" s="47" t="s">
        <v>350</v>
      </c>
      <c r="D41" s="47"/>
      <c r="E41" s="80">
        <v>1471000</v>
      </c>
    </row>
    <row r="43" spans="2:247" x14ac:dyDescent="0.2">
      <c r="M43"/>
      <c r="N43"/>
      <c r="O43"/>
      <c r="P43"/>
      <c r="Q43"/>
      <c r="R43"/>
      <c r="S43"/>
      <c r="T43"/>
      <c r="U43"/>
      <c r="V43"/>
      <c r="W43"/>
    </row>
    <row r="44" spans="2:247" x14ac:dyDescent="0.2">
      <c r="M44"/>
      <c r="N44"/>
      <c r="O44"/>
      <c r="P44"/>
      <c r="Q44"/>
      <c r="R44"/>
      <c r="S44"/>
      <c r="T44"/>
      <c r="U44"/>
      <c r="V44"/>
      <c r="W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</row>
    <row r="45" spans="2:247" x14ac:dyDescent="0.2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</row>
    <row r="46" spans="2:247" x14ac:dyDescent="0.2">
      <c r="M46"/>
      <c r="N46"/>
      <c r="O46"/>
      <c r="P46"/>
      <c r="Q46"/>
      <c r="R46"/>
      <c r="S46"/>
      <c r="T46"/>
      <c r="U46"/>
      <c r="V46" s="85"/>
      <c r="W46" s="85"/>
      <c r="X46" s="46"/>
      <c r="Y46" s="46"/>
      <c r="Z46" s="46"/>
      <c r="AA46" s="46"/>
      <c r="AB46" s="46"/>
      <c r="AC46" s="46"/>
      <c r="AD46" s="46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85"/>
      <c r="DE46" s="85"/>
      <c r="DF46" s="85"/>
      <c r="DG46" s="85"/>
      <c r="DH46" s="85"/>
      <c r="DI46" s="85"/>
      <c r="DJ46" s="85"/>
      <c r="DK46" s="85"/>
      <c r="DL46" s="85"/>
      <c r="DM46" s="85"/>
      <c r="DN46" s="85"/>
      <c r="DO46" s="85"/>
      <c r="DP46" s="85"/>
      <c r="DQ46" s="85"/>
      <c r="DR46" s="85"/>
      <c r="DS46" s="85"/>
      <c r="DT46" s="85"/>
      <c r="DU46" s="85"/>
      <c r="DV46" s="85"/>
      <c r="DW46" s="85"/>
      <c r="DX46" s="85"/>
      <c r="DY46" s="85"/>
      <c r="DZ46" s="85"/>
      <c r="EA46" s="85"/>
      <c r="EB46" s="85"/>
      <c r="EC46" s="85"/>
      <c r="ED46" s="85"/>
      <c r="EE46" s="85"/>
      <c r="EF46" s="85"/>
      <c r="EG46" s="85"/>
      <c r="EH46" s="85"/>
      <c r="EI46" s="85"/>
      <c r="EJ46" s="85"/>
      <c r="EK46" s="85"/>
      <c r="EL46" s="85"/>
      <c r="EM46" s="85"/>
      <c r="EN46" s="85"/>
      <c r="EO46" s="85"/>
      <c r="EP46" s="85"/>
      <c r="EQ46" s="85"/>
      <c r="ER46" s="85"/>
      <c r="ES46" s="85"/>
      <c r="ET46" s="85"/>
      <c r="EU46" s="85"/>
      <c r="EV46" s="85"/>
      <c r="EW46" s="85"/>
      <c r="EX46" s="85"/>
      <c r="EY46" s="85"/>
      <c r="EZ46" s="85"/>
      <c r="FA46" s="85"/>
      <c r="FB46" s="85"/>
      <c r="FC46" s="85"/>
      <c r="FD46" s="85"/>
      <c r="FE46" s="85"/>
      <c r="FF46" s="85"/>
      <c r="FG46" s="85"/>
      <c r="FH46" s="85"/>
      <c r="FI46" s="85"/>
      <c r="FJ46" s="85"/>
      <c r="FK46" s="85"/>
      <c r="FL46" s="85"/>
      <c r="FM46" s="85"/>
      <c r="FN46" s="85"/>
      <c r="FO46" s="85"/>
      <c r="FP46" s="85"/>
      <c r="FQ46" s="85"/>
      <c r="FR46" s="85"/>
      <c r="FS46" s="85"/>
      <c r="FT46" s="85"/>
      <c r="FU46" s="85"/>
      <c r="FV46" s="85"/>
      <c r="FW46" s="85"/>
      <c r="FX46" s="85"/>
      <c r="FY46" s="85"/>
      <c r="FZ46" s="85"/>
      <c r="GA46" s="85"/>
      <c r="GB46" s="85"/>
      <c r="GC46" s="85"/>
      <c r="GD46" s="85"/>
      <c r="GE46" s="85"/>
      <c r="GF46" s="85"/>
      <c r="GG46" s="85"/>
      <c r="GH46" s="85"/>
      <c r="GI46" s="85"/>
      <c r="GJ46" s="85"/>
      <c r="GK46" s="85"/>
      <c r="GL46" s="85"/>
      <c r="GM46" s="85"/>
      <c r="GN46" s="85"/>
      <c r="GO46" s="85"/>
      <c r="GP46" s="85"/>
      <c r="GQ46" s="85"/>
      <c r="GR46" s="85"/>
      <c r="GS46" s="85"/>
      <c r="GT46" s="85"/>
      <c r="GU46" s="85"/>
      <c r="GV46" s="85"/>
      <c r="GW46" s="85"/>
      <c r="GX46" s="85"/>
      <c r="GY46" s="85"/>
      <c r="GZ46" s="85"/>
      <c r="HA46" s="85"/>
      <c r="HB46" s="85"/>
      <c r="HC46" s="85"/>
      <c r="HD46" s="85"/>
      <c r="HE46" s="85"/>
      <c r="HF46" s="85"/>
      <c r="HG46" s="85"/>
      <c r="HH46" s="85"/>
      <c r="HI46" s="85"/>
      <c r="HJ46" s="85"/>
      <c r="HK46" s="85"/>
      <c r="HL46" s="85"/>
      <c r="HM46" s="85"/>
      <c r="HN46" s="85"/>
      <c r="HO46" s="85"/>
      <c r="HP46" s="85"/>
      <c r="HQ46" s="85"/>
      <c r="HR46" s="85"/>
      <c r="HS46" s="85"/>
      <c r="HT46" s="85"/>
      <c r="HU46" s="85"/>
      <c r="HV46" s="85"/>
      <c r="HW46" s="85"/>
      <c r="HX46" s="85"/>
      <c r="HY46" s="85"/>
      <c r="HZ46" s="85"/>
      <c r="IA46" s="85"/>
      <c r="IB46" s="85"/>
      <c r="IC46" s="85"/>
      <c r="ID46" s="85"/>
      <c r="IE46" s="85"/>
      <c r="IF46" s="85"/>
      <c r="IG46" s="85"/>
      <c r="IH46" s="85"/>
      <c r="II46" s="85"/>
      <c r="IJ46" s="85"/>
      <c r="IK46" s="85"/>
      <c r="IL46" s="85"/>
      <c r="IM46" s="85"/>
    </row>
    <row r="47" spans="2:247" x14ac:dyDescent="0.2">
      <c r="M47"/>
      <c r="N47"/>
      <c r="O47"/>
      <c r="P47"/>
      <c r="Q47"/>
      <c r="R47"/>
      <c r="S47"/>
      <c r="T47"/>
      <c r="U47"/>
      <c r="V47"/>
      <c r="AE47"/>
    </row>
    <row r="48" spans="2:247" x14ac:dyDescent="0.2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AE48"/>
    </row>
    <row r="49" spans="2:31" x14ac:dyDescent="0.2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AE49"/>
    </row>
    <row r="50" spans="2:31" x14ac:dyDescent="0.2">
      <c r="B50"/>
      <c r="C50"/>
      <c r="D50" s="154" t="s">
        <v>269</v>
      </c>
      <c r="E50" s="154" t="s">
        <v>267</v>
      </c>
      <c r="F50" s="154" t="s">
        <v>249</v>
      </c>
      <c r="G50" s="154" t="s">
        <v>254</v>
      </c>
      <c r="H50" s="154" t="s">
        <v>250</v>
      </c>
      <c r="I50" s="154" t="s">
        <v>252</v>
      </c>
      <c r="J50" s="154" t="s">
        <v>260</v>
      </c>
      <c r="K50" s="154" t="s">
        <v>256</v>
      </c>
      <c r="L50" s="154" t="s">
        <v>258</v>
      </c>
      <c r="M50" s="154" t="s">
        <v>262</v>
      </c>
      <c r="N50"/>
      <c r="O50"/>
      <c r="P50"/>
      <c r="Q50"/>
      <c r="R50"/>
      <c r="S50"/>
      <c r="T50"/>
      <c r="U50"/>
      <c r="V50"/>
      <c r="AE50"/>
    </row>
    <row r="51" spans="2:31" x14ac:dyDescent="0.2">
      <c r="B51"/>
      <c r="C51" t="s">
        <v>448</v>
      </c>
      <c r="D51" s="114">
        <v>0</v>
      </c>
      <c r="E51" s="114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/>
      <c r="O51"/>
      <c r="P51"/>
      <c r="Q51"/>
      <c r="R51"/>
      <c r="S51"/>
      <c r="T51"/>
      <c r="U51"/>
      <c r="V51"/>
      <c r="AE51"/>
    </row>
    <row r="52" spans="2:31" x14ac:dyDescent="0.2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AE52"/>
    </row>
    <row r="53" spans="2:31" x14ac:dyDescent="0.2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AE53"/>
    </row>
    <row r="54" spans="2:31" x14ac:dyDescent="0.2">
      <c r="B54"/>
      <c r="C54"/>
      <c r="D54" s="154" t="s">
        <v>269</v>
      </c>
      <c r="E54" s="154" t="s">
        <v>267</v>
      </c>
      <c r="F54" s="154" t="s">
        <v>249</v>
      </c>
      <c r="G54" s="154" t="s">
        <v>254</v>
      </c>
      <c r="H54" s="154" t="s">
        <v>250</v>
      </c>
      <c r="I54" s="154" t="s">
        <v>252</v>
      </c>
      <c r="J54" s="154" t="s">
        <v>260</v>
      </c>
      <c r="K54" s="154" t="s">
        <v>256</v>
      </c>
      <c r="L54" s="154" t="s">
        <v>258</v>
      </c>
      <c r="M54" s="154" t="s">
        <v>262</v>
      </c>
      <c r="N54"/>
      <c r="O54"/>
      <c r="P54"/>
      <c r="Q54"/>
      <c r="R54"/>
      <c r="S54"/>
      <c r="T54"/>
      <c r="U54"/>
      <c r="V54"/>
      <c r="AE54"/>
    </row>
    <row r="55" spans="2:31" x14ac:dyDescent="0.2">
      <c r="B55"/>
      <c r="C55" t="s">
        <v>449</v>
      </c>
      <c r="D55" s="114">
        <v>0.5</v>
      </c>
      <c r="E55" s="114">
        <v>0.7</v>
      </c>
      <c r="F55" s="114">
        <v>0.8</v>
      </c>
      <c r="G55" s="114">
        <v>0.9</v>
      </c>
      <c r="H55" s="114">
        <v>1</v>
      </c>
      <c r="I55" s="114">
        <v>1</v>
      </c>
      <c r="J55" s="114">
        <v>0.3</v>
      </c>
      <c r="K55" s="114">
        <v>0.9</v>
      </c>
      <c r="L55" s="114">
        <v>0.7</v>
      </c>
      <c r="M55" s="114">
        <v>0.8</v>
      </c>
      <c r="N55"/>
      <c r="O55"/>
      <c r="P55"/>
      <c r="Q55"/>
      <c r="R55"/>
      <c r="S55"/>
      <c r="T55"/>
      <c r="U55"/>
      <c r="V55"/>
      <c r="AE55"/>
    </row>
    <row r="56" spans="2:31" x14ac:dyDescent="0.2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AE56"/>
    </row>
    <row r="57" spans="2:31" x14ac:dyDescent="0.2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AE57"/>
    </row>
    <row r="58" spans="2:31" x14ac:dyDescent="0.2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AE58"/>
    </row>
    <row r="59" spans="2:31" x14ac:dyDescent="0.2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AE59"/>
    </row>
    <row r="60" spans="2:31" x14ac:dyDescent="0.2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AE60"/>
    </row>
    <row r="61" spans="2:31" x14ac:dyDescent="0.2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AE61"/>
    </row>
    <row r="62" spans="2:31" x14ac:dyDescent="0.2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AE62"/>
    </row>
    <row r="63" spans="2:31" x14ac:dyDescent="0.2">
      <c r="B63"/>
      <c r="C63"/>
      <c r="D63"/>
      <c r="E63"/>
      <c r="F63"/>
      <c r="G63"/>
      <c r="H63"/>
      <c r="I63"/>
      <c r="J63"/>
      <c r="K63"/>
      <c r="L63"/>
      <c r="M63"/>
      <c r="AE63"/>
    </row>
    <row r="64" spans="2:31" x14ac:dyDescent="0.2">
      <c r="AE64"/>
    </row>
    <row r="65" spans="31:31" x14ac:dyDescent="0.2">
      <c r="AE65"/>
    </row>
    <row r="66" spans="31:31" x14ac:dyDescent="0.2">
      <c r="AE66"/>
    </row>
    <row r="67" spans="31:31" x14ac:dyDescent="0.2">
      <c r="AE67"/>
    </row>
    <row r="68" spans="31:31" x14ac:dyDescent="0.2">
      <c r="AE68"/>
    </row>
    <row r="69" spans="31:31" x14ac:dyDescent="0.2">
      <c r="AE69"/>
    </row>
    <row r="70" spans="31:31" x14ac:dyDescent="0.2">
      <c r="AE70"/>
    </row>
    <row r="71" spans="31:31" x14ac:dyDescent="0.2">
      <c r="AE71"/>
    </row>
    <row r="72" spans="31:31" x14ac:dyDescent="0.2">
      <c r="AE72"/>
    </row>
    <row r="73" spans="31:31" x14ac:dyDescent="0.2">
      <c r="AE73"/>
    </row>
    <row r="74" spans="31:31" x14ac:dyDescent="0.2">
      <c r="AE74"/>
    </row>
    <row r="75" spans="31:31" x14ac:dyDescent="0.2">
      <c r="AE75"/>
    </row>
    <row r="76" spans="31:31" x14ac:dyDescent="0.2">
      <c r="AE76"/>
    </row>
    <row r="77" spans="31:31" x14ac:dyDescent="0.2">
      <c r="AE77"/>
    </row>
    <row r="78" spans="31:31" x14ac:dyDescent="0.2">
      <c r="AE78"/>
    </row>
    <row r="79" spans="31:31" x14ac:dyDescent="0.2">
      <c r="AE79"/>
    </row>
    <row r="80" spans="31:31" x14ac:dyDescent="0.2">
      <c r="AE80"/>
    </row>
    <row r="81" spans="2:31" x14ac:dyDescent="0.2">
      <c r="AE81"/>
    </row>
    <row r="82" spans="2:31" x14ac:dyDescent="0.2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</row>
    <row r="83" spans="2:31" x14ac:dyDescent="0.2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</row>
    <row r="84" spans="2:31" x14ac:dyDescent="0.2">
      <c r="AE84"/>
    </row>
    <row r="85" spans="2:31" x14ac:dyDescent="0.2">
      <c r="AE85"/>
    </row>
    <row r="86" spans="2:31" x14ac:dyDescent="0.2">
      <c r="AE86"/>
    </row>
    <row r="87" spans="2:31" x14ac:dyDescent="0.2">
      <c r="AE87"/>
    </row>
    <row r="88" spans="2:31" x14ac:dyDescent="0.2">
      <c r="AE88"/>
    </row>
    <row r="89" spans="2:31" x14ac:dyDescent="0.2">
      <c r="AE89"/>
    </row>
    <row r="90" spans="2:31" x14ac:dyDescent="0.2">
      <c r="AE90"/>
    </row>
    <row r="91" spans="2:31" x14ac:dyDescent="0.2">
      <c r="AE91"/>
    </row>
    <row r="92" spans="2:31" x14ac:dyDescent="0.2">
      <c r="AE92"/>
    </row>
    <row r="93" spans="2:31" x14ac:dyDescent="0.2">
      <c r="AE93"/>
    </row>
    <row r="94" spans="2:31" x14ac:dyDescent="0.2">
      <c r="AE94"/>
    </row>
    <row r="95" spans="2:31" x14ac:dyDescent="0.2">
      <c r="AE95"/>
    </row>
    <row r="96" spans="2:31" x14ac:dyDescent="0.2">
      <c r="AE96"/>
    </row>
    <row r="97" spans="31:31" x14ac:dyDescent="0.2">
      <c r="AE97"/>
    </row>
    <row r="98" spans="31:31" x14ac:dyDescent="0.2">
      <c r="AE98"/>
    </row>
    <row r="99" spans="31:31" x14ac:dyDescent="0.2">
      <c r="AE99"/>
    </row>
    <row r="100" spans="31:31" x14ac:dyDescent="0.2">
      <c r="AE100"/>
    </row>
    <row r="101" spans="31:31" x14ac:dyDescent="0.2">
      <c r="AE101"/>
    </row>
    <row r="102" spans="31:31" x14ac:dyDescent="0.2">
      <c r="AE102"/>
    </row>
    <row r="103" spans="31:31" x14ac:dyDescent="0.2">
      <c r="AE103"/>
    </row>
    <row r="104" spans="31:31" x14ac:dyDescent="0.2">
      <c r="AE104"/>
    </row>
    <row r="105" spans="31:31" x14ac:dyDescent="0.2">
      <c r="AE105"/>
    </row>
    <row r="106" spans="31:31" x14ac:dyDescent="0.2">
      <c r="AE106"/>
    </row>
    <row r="107" spans="31:31" x14ac:dyDescent="0.2">
      <c r="AE107"/>
    </row>
    <row r="108" spans="31:31" x14ac:dyDescent="0.2">
      <c r="AE108"/>
    </row>
    <row r="109" spans="31:31" x14ac:dyDescent="0.2">
      <c r="AE109"/>
    </row>
    <row r="110" spans="31:31" x14ac:dyDescent="0.2">
      <c r="AE110"/>
    </row>
    <row r="111" spans="31:31" x14ac:dyDescent="0.2">
      <c r="AE111"/>
    </row>
    <row r="112" spans="31:31" x14ac:dyDescent="0.2">
      <c r="AE112"/>
    </row>
    <row r="113" spans="2:31" x14ac:dyDescent="0.2">
      <c r="AE113"/>
    </row>
    <row r="114" spans="2:31" x14ac:dyDescent="0.2">
      <c r="AE114"/>
    </row>
    <row r="115" spans="2:31" x14ac:dyDescent="0.2">
      <c r="AE115"/>
    </row>
    <row r="116" spans="2:31" x14ac:dyDescent="0.2">
      <c r="AE116"/>
    </row>
    <row r="117" spans="2:31" x14ac:dyDescent="0.2">
      <c r="AE117"/>
    </row>
    <row r="118" spans="2:31" x14ac:dyDescent="0.2">
      <c r="AE118"/>
    </row>
    <row r="119" spans="2:31" x14ac:dyDescent="0.2">
      <c r="AE119"/>
    </row>
    <row r="120" spans="2:31" x14ac:dyDescent="0.2">
      <c r="AE120"/>
    </row>
    <row r="121" spans="2:31" x14ac:dyDescent="0.2">
      <c r="AE121"/>
    </row>
    <row r="122" spans="2:31" x14ac:dyDescent="0.2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2:31" x14ac:dyDescent="0.2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2:31" x14ac:dyDescent="0.2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2:31" x14ac:dyDescent="0.2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2:31" x14ac:dyDescent="0.2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2:31" x14ac:dyDescent="0.2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2:31" x14ac:dyDescent="0.2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2:31" x14ac:dyDescent="0.2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2:31" x14ac:dyDescent="0.2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2:31" x14ac:dyDescent="0.2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2:31" x14ac:dyDescent="0.2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2:31" x14ac:dyDescent="0.2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2:31" x14ac:dyDescent="0.2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2:31" x14ac:dyDescent="0.2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2:31" x14ac:dyDescent="0.2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2:31" x14ac:dyDescent="0.2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2:31" x14ac:dyDescent="0.2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2:31" x14ac:dyDescent="0.2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2:31" x14ac:dyDescent="0.2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2:31" x14ac:dyDescent="0.2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2:31" x14ac:dyDescent="0.2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2:31" x14ac:dyDescent="0.2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2:31" x14ac:dyDescent="0.2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2:31" x14ac:dyDescent="0.2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2:31" x14ac:dyDescent="0.2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2:31" x14ac:dyDescent="0.2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2:31" x14ac:dyDescent="0.2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2:31" x14ac:dyDescent="0.2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2:31" x14ac:dyDescent="0.2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2:31" x14ac:dyDescent="0.2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2:31" x14ac:dyDescent="0.2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2:31" x14ac:dyDescent="0.2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2:31" x14ac:dyDescent="0.2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2:31" x14ac:dyDescent="0.2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2:31" x14ac:dyDescent="0.2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2:31" x14ac:dyDescent="0.2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2:31" x14ac:dyDescent="0.2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2:31" x14ac:dyDescent="0.2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2:31" x14ac:dyDescent="0.2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2:31" x14ac:dyDescent="0.2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2:31" x14ac:dyDescent="0.2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2:31" x14ac:dyDescent="0.2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2:31" x14ac:dyDescent="0.2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2:31" x14ac:dyDescent="0.2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2:31" x14ac:dyDescent="0.2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2:31" x14ac:dyDescent="0.2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2:31" x14ac:dyDescent="0.2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2:31" x14ac:dyDescent="0.2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2:31" x14ac:dyDescent="0.2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2:31" x14ac:dyDescent="0.2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2:31" x14ac:dyDescent="0.2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2:31" x14ac:dyDescent="0.2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2:31" x14ac:dyDescent="0.2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2:31" x14ac:dyDescent="0.2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2:31" x14ac:dyDescent="0.2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2:31" x14ac:dyDescent="0.2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2:31" x14ac:dyDescent="0.2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2:31" x14ac:dyDescent="0.2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2:31" x14ac:dyDescent="0.2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2:31" x14ac:dyDescent="0.2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2:31" x14ac:dyDescent="0.2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2:31" x14ac:dyDescent="0.2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2:31" x14ac:dyDescent="0.2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2:31" x14ac:dyDescent="0.2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2:31" x14ac:dyDescent="0.2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2:31" x14ac:dyDescent="0.2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2:31" x14ac:dyDescent="0.2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2:31" x14ac:dyDescent="0.2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2:31" x14ac:dyDescent="0.2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2:31" x14ac:dyDescent="0.2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2:31" x14ac:dyDescent="0.2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2:31" x14ac:dyDescent="0.2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2:31" x14ac:dyDescent="0.2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2:31" x14ac:dyDescent="0.2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2:31" x14ac:dyDescent="0.2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2:31" x14ac:dyDescent="0.2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2:31" x14ac:dyDescent="0.2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2:31" x14ac:dyDescent="0.2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2:31" x14ac:dyDescent="0.2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2:31" x14ac:dyDescent="0.2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2:31" x14ac:dyDescent="0.2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2:31" x14ac:dyDescent="0.2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2:31" x14ac:dyDescent="0.2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2:31" x14ac:dyDescent="0.2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2:31" x14ac:dyDescent="0.2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2:31" x14ac:dyDescent="0.2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2:31" x14ac:dyDescent="0.2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2:31" x14ac:dyDescent="0.2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2:31" x14ac:dyDescent="0.2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2:31" x14ac:dyDescent="0.2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2:31" x14ac:dyDescent="0.2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2:31" x14ac:dyDescent="0.2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2:31" x14ac:dyDescent="0.2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2:31" x14ac:dyDescent="0.2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2:31" x14ac:dyDescent="0.2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2:31" x14ac:dyDescent="0.2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2:31" x14ac:dyDescent="0.2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2:31" x14ac:dyDescent="0.2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2:31" x14ac:dyDescent="0.2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2:31" x14ac:dyDescent="0.2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2:31" x14ac:dyDescent="0.2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2:31" x14ac:dyDescent="0.2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2:31" x14ac:dyDescent="0.2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2:31" x14ac:dyDescent="0.2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2:31" x14ac:dyDescent="0.2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2:31" x14ac:dyDescent="0.2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2:31" x14ac:dyDescent="0.2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2:31" x14ac:dyDescent="0.2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2:31" x14ac:dyDescent="0.2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2:31" x14ac:dyDescent="0.2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2:31" x14ac:dyDescent="0.2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2:31" x14ac:dyDescent="0.2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2:31" x14ac:dyDescent="0.2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2:31" x14ac:dyDescent="0.2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2:31" x14ac:dyDescent="0.2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2:31" x14ac:dyDescent="0.2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2:31" x14ac:dyDescent="0.2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2:31" x14ac:dyDescent="0.2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2:31" x14ac:dyDescent="0.2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2:31" x14ac:dyDescent="0.2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2:31" x14ac:dyDescent="0.2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2:31" x14ac:dyDescent="0.2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2:31" x14ac:dyDescent="0.2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2:31" x14ac:dyDescent="0.2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2:31" x14ac:dyDescent="0.2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2:31" x14ac:dyDescent="0.2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2:31" x14ac:dyDescent="0.2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2:31" x14ac:dyDescent="0.2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2:31" x14ac:dyDescent="0.2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2:31" x14ac:dyDescent="0.2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2:31" x14ac:dyDescent="0.2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2:31" x14ac:dyDescent="0.2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2:31" x14ac:dyDescent="0.2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2:31" x14ac:dyDescent="0.2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2:31" x14ac:dyDescent="0.2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2:31" x14ac:dyDescent="0.2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2:31" x14ac:dyDescent="0.2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2:31" x14ac:dyDescent="0.2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2:31" x14ac:dyDescent="0.2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2:31" x14ac:dyDescent="0.2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2:31" x14ac:dyDescent="0.2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2:31" x14ac:dyDescent="0.2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2:31" x14ac:dyDescent="0.2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2:31" x14ac:dyDescent="0.2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2:31" x14ac:dyDescent="0.2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2:31" x14ac:dyDescent="0.2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2:31" x14ac:dyDescent="0.2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2:31" x14ac:dyDescent="0.2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2:31" x14ac:dyDescent="0.2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2:31" x14ac:dyDescent="0.2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2:31" x14ac:dyDescent="0.2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2:31" x14ac:dyDescent="0.2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2:31" x14ac:dyDescent="0.2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31" x14ac:dyDescent="0.2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2:31" x14ac:dyDescent="0.2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2:31" x14ac:dyDescent="0.2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2:31" x14ac:dyDescent="0.2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2:31" x14ac:dyDescent="0.2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2:31" x14ac:dyDescent="0.2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2:31" x14ac:dyDescent="0.2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2:31" x14ac:dyDescent="0.2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2:31" x14ac:dyDescent="0.2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2:31" x14ac:dyDescent="0.2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2:31" x14ac:dyDescent="0.2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2:31" x14ac:dyDescent="0.2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2:31" x14ac:dyDescent="0.2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2:31" x14ac:dyDescent="0.2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2:31" x14ac:dyDescent="0.2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2:31" x14ac:dyDescent="0.2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2:31" x14ac:dyDescent="0.2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</row>
    <row r="292" spans="2:31" x14ac:dyDescent="0.2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</row>
    <row r="293" spans="2:31" x14ac:dyDescent="0.2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</row>
    <row r="294" spans="2:31" x14ac:dyDescent="0.2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</row>
    <row r="295" spans="2:31" x14ac:dyDescent="0.2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</row>
    <row r="296" spans="2:31" x14ac:dyDescent="0.2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</row>
    <row r="297" spans="2:31" x14ac:dyDescent="0.2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</row>
    <row r="298" spans="2:31" x14ac:dyDescent="0.2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</row>
    <row r="299" spans="2:31" x14ac:dyDescent="0.2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</row>
    <row r="300" spans="2:31" x14ac:dyDescent="0.2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</row>
    <row r="301" spans="2:31" x14ac:dyDescent="0.2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</row>
    <row r="302" spans="2:31" x14ac:dyDescent="0.2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</row>
    <row r="303" spans="2:31" x14ac:dyDescent="0.2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</row>
    <row r="304" spans="2:31" x14ac:dyDescent="0.2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</row>
    <row r="305" spans="2:30" x14ac:dyDescent="0.2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</row>
    <row r="306" spans="2:30" x14ac:dyDescent="0.2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</row>
    <row r="307" spans="2:30" x14ac:dyDescent="0.2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</row>
    <row r="308" spans="2:30" x14ac:dyDescent="0.2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</row>
    <row r="309" spans="2:30" x14ac:dyDescent="0.2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</row>
    <row r="310" spans="2:30" x14ac:dyDescent="0.2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</row>
    <row r="311" spans="2:30" x14ac:dyDescent="0.2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</row>
    <row r="312" spans="2:30" x14ac:dyDescent="0.2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</row>
    <row r="313" spans="2:30" x14ac:dyDescent="0.2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</row>
    <row r="314" spans="2:30" x14ac:dyDescent="0.2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</row>
    <row r="315" spans="2:30" x14ac:dyDescent="0.2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</row>
    <row r="316" spans="2:30" x14ac:dyDescent="0.2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</row>
    <row r="317" spans="2:30" x14ac:dyDescent="0.2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</row>
    <row r="318" spans="2:30" x14ac:dyDescent="0.2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</row>
    <row r="319" spans="2:30" x14ac:dyDescent="0.2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</row>
    <row r="320" spans="2:30" x14ac:dyDescent="0.2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</row>
    <row r="321" spans="2:30" x14ac:dyDescent="0.2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</row>
    <row r="322" spans="2:30" x14ac:dyDescent="0.2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</row>
    <row r="323" spans="2:30" x14ac:dyDescent="0.2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</row>
    <row r="324" spans="2:30" x14ac:dyDescent="0.2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</row>
    <row r="325" spans="2:30" x14ac:dyDescent="0.2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</row>
    <row r="326" spans="2:30" x14ac:dyDescent="0.2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</row>
    <row r="327" spans="2:30" x14ac:dyDescent="0.2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</row>
    <row r="328" spans="2:30" x14ac:dyDescent="0.2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</row>
    <row r="329" spans="2:30" x14ac:dyDescent="0.2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</row>
    <row r="330" spans="2:30" x14ac:dyDescent="0.2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</row>
    <row r="331" spans="2:30" x14ac:dyDescent="0.2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</row>
    <row r="332" spans="2:30" x14ac:dyDescent="0.2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</row>
    <row r="333" spans="2:30" x14ac:dyDescent="0.2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</row>
    <row r="334" spans="2:30" x14ac:dyDescent="0.2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</row>
    <row r="335" spans="2:30" x14ac:dyDescent="0.2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</row>
    <row r="336" spans="2:30" x14ac:dyDescent="0.2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</row>
    <row r="337" spans="2:30" x14ac:dyDescent="0.2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</row>
    <row r="338" spans="2:30" x14ac:dyDescent="0.2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</row>
    <row r="339" spans="2:30" x14ac:dyDescent="0.2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</row>
    <row r="340" spans="2:30" x14ac:dyDescent="0.2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</row>
    <row r="341" spans="2:30" x14ac:dyDescent="0.2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</row>
    <row r="342" spans="2:30" x14ac:dyDescent="0.2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</row>
    <row r="343" spans="2:30" x14ac:dyDescent="0.2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</row>
    <row r="344" spans="2:30" x14ac:dyDescent="0.2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</row>
    <row r="345" spans="2:30" x14ac:dyDescent="0.2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</row>
    <row r="346" spans="2:30" x14ac:dyDescent="0.2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</row>
  </sheetData>
  <mergeCells count="1">
    <mergeCell ref="A1:AD1"/>
  </mergeCells>
  <pageMargins left="0.7" right="0.7" top="0.75" bottom="0.75" header="0.3" footer="0.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6C65-A3AB-4473-8C56-CA6D7F56D594}">
  <sheetPr>
    <tabColor theme="4"/>
  </sheetPr>
  <dimension ref="A1:AE120"/>
  <sheetViews>
    <sheetView showGridLines="0" zoomScale="80" zoomScaleNormal="80" workbookViewId="0">
      <selection activeCell="K20" sqref="K20"/>
    </sheetView>
  </sheetViews>
  <sheetFormatPr baseColWidth="10" defaultColWidth="11.42578125" defaultRowHeight="12.75" x14ac:dyDescent="0.2"/>
  <cols>
    <col min="1" max="1" width="4.7109375" style="44" customWidth="1"/>
    <col min="2" max="2" width="29.140625" style="44" bestFit="1" customWidth="1"/>
    <col min="3" max="3" width="60.5703125" style="44" bestFit="1" customWidth="1"/>
    <col min="4" max="4" width="8.85546875" style="44" bestFit="1" customWidth="1"/>
    <col min="5" max="6" width="9.85546875" style="44" bestFit="1" customWidth="1"/>
    <col min="7" max="7" width="12.85546875" style="44" customWidth="1"/>
    <col min="8" max="8" width="14.140625" style="44" customWidth="1"/>
    <col min="9" max="11" width="8.7109375" style="44" bestFit="1" customWidth="1"/>
    <col min="12" max="21" width="9.28515625" style="44" bestFit="1" customWidth="1"/>
    <col min="22" max="22" width="8.7109375" style="44" bestFit="1" customWidth="1"/>
    <col min="23" max="23" width="9.28515625" style="44" bestFit="1" customWidth="1"/>
    <col min="24" max="27" width="8.7109375" style="44" bestFit="1" customWidth="1"/>
    <col min="28" max="28" width="9.85546875" style="44" bestFit="1" customWidth="1"/>
    <col min="29" max="30" width="8.7109375" style="44" bestFit="1" customWidth="1"/>
    <col min="31" max="31" width="14.140625" style="44" bestFit="1" customWidth="1"/>
    <col min="32" max="32" width="7.42578125" style="44" bestFit="1" customWidth="1"/>
    <col min="33" max="33" width="8.5703125" style="44" bestFit="1" customWidth="1"/>
    <col min="34" max="34" width="8.42578125" style="44" bestFit="1" customWidth="1"/>
    <col min="35" max="37" width="5.85546875" style="44" bestFit="1" customWidth="1"/>
    <col min="38" max="38" width="7.28515625" style="44" bestFit="1" customWidth="1"/>
    <col min="39" max="48" width="8.5703125" style="44" bestFit="1" customWidth="1"/>
    <col min="49" max="49" width="7.42578125" style="44" bestFit="1" customWidth="1"/>
    <col min="50" max="50" width="8.5703125" style="44" bestFit="1" customWidth="1"/>
    <col min="51" max="57" width="7.42578125" style="44" bestFit="1" customWidth="1"/>
    <col min="58" max="58" width="11" style="44" bestFit="1" customWidth="1"/>
    <col min="59" max="84" width="9.85546875" style="44" bestFit="1" customWidth="1"/>
    <col min="85" max="85" width="11.42578125" style="44"/>
    <col min="86" max="88" width="8.5703125" style="44" bestFit="1" customWidth="1"/>
    <col min="89" max="91" width="5.85546875" style="44" bestFit="1" customWidth="1"/>
    <col min="92" max="92" width="7.42578125" style="44" bestFit="1" customWidth="1"/>
    <col min="93" max="102" width="8.5703125" style="44" bestFit="1" customWidth="1"/>
    <col min="103" max="103" width="7.42578125" style="44" bestFit="1" customWidth="1"/>
    <col min="104" max="104" width="8.5703125" style="44" bestFit="1" customWidth="1"/>
    <col min="105" max="111" width="7.42578125" style="44" bestFit="1" customWidth="1"/>
    <col min="112" max="112" width="10.7109375" style="44" bestFit="1" customWidth="1"/>
    <col min="113" max="113" width="11.140625" style="44" bestFit="1" customWidth="1"/>
    <col min="114" max="114" width="11.28515625" style="44" bestFit="1" customWidth="1"/>
    <col min="115" max="16384" width="11.42578125" style="44"/>
  </cols>
  <sheetData>
    <row r="1" spans="1:30" ht="28.5" x14ac:dyDescent="0.45">
      <c r="A1" s="184" t="s">
        <v>445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95"/>
      <c r="Y1" s="95"/>
      <c r="Z1" s="95"/>
      <c r="AA1" s="95"/>
      <c r="AB1" s="95"/>
      <c r="AC1" s="95"/>
      <c r="AD1" s="95"/>
    </row>
    <row r="2" spans="1:30" x14ac:dyDescent="0.2">
      <c r="B2" s="47"/>
      <c r="C2" s="47"/>
    </row>
    <row r="3" spans="1:30" ht="13.5" customHeight="1" x14ac:dyDescent="0.2">
      <c r="B3" s="47"/>
      <c r="C3" s="47"/>
      <c r="D3" s="47"/>
      <c r="E3" s="47"/>
      <c r="F3" s="47"/>
      <c r="G3" s="47"/>
      <c r="H3" s="47"/>
      <c r="I3" s="47"/>
    </row>
    <row r="4" spans="1:30" ht="25.5" x14ac:dyDescent="0.2">
      <c r="C4" s="103" t="s">
        <v>427</v>
      </c>
      <c r="D4" s="103" t="s">
        <v>436</v>
      </c>
      <c r="L4" s="183" t="s">
        <v>435</v>
      </c>
      <c r="M4" s="183"/>
      <c r="N4" s="183"/>
      <c r="O4" s="183"/>
    </row>
    <row r="5" spans="1:30" x14ac:dyDescent="0.2">
      <c r="C5" s="104" t="str">
        <f>REF_ER!B31</f>
        <v>Incapacité à réaliser le processus Concevoir des voitures</v>
      </c>
      <c r="D5" s="42">
        <f>REF_ER!C31</f>
        <v>3</v>
      </c>
      <c r="L5" s="105" t="s">
        <v>185</v>
      </c>
      <c r="M5" s="105" t="s">
        <v>186</v>
      </c>
      <c r="N5" s="105" t="s">
        <v>187</v>
      </c>
      <c r="O5" s="105" t="s">
        <v>188</v>
      </c>
    </row>
    <row r="6" spans="1:30" ht="25.5" x14ac:dyDescent="0.2">
      <c r="C6" s="104" t="str">
        <f>REF_ER!B32</f>
        <v>Altération du processus Contruire des voitures</v>
      </c>
      <c r="D6" s="42">
        <f>REF_ER!C32</f>
        <v>4</v>
      </c>
      <c r="K6" s="134" t="s">
        <v>433</v>
      </c>
      <c r="L6" s="44" cm="1">
        <f t="array" ref="L6:O8">REF_ER!C48:F50</f>
        <v>3</v>
      </c>
      <c r="M6" s="44">
        <v>4</v>
      </c>
      <c r="N6" s="44">
        <v>4</v>
      </c>
      <c r="O6" s="44">
        <v>2</v>
      </c>
    </row>
    <row r="7" spans="1:30" x14ac:dyDescent="0.2">
      <c r="C7" s="104" t="str">
        <f>REF_ER!B33</f>
        <v>Fuite de données Données R&amp;D</v>
      </c>
      <c r="D7" s="42">
        <f>REF_ER!C33</f>
        <v>4</v>
      </c>
      <c r="K7" s="134" t="s">
        <v>421</v>
      </c>
      <c r="L7" s="135">
        <v>2</v>
      </c>
      <c r="M7" s="135">
        <v>3</v>
      </c>
      <c r="N7" s="135">
        <v>3</v>
      </c>
      <c r="O7" s="135">
        <v>3</v>
      </c>
    </row>
    <row r="8" spans="1:30" ht="13.5" thickBot="1" x14ac:dyDescent="0.25">
      <c r="C8" s="104" t="str">
        <f>REF_ER!B34</f>
        <v>Incapacité à tracer les données Données marché</v>
      </c>
      <c r="D8" s="42">
        <f>REF_ER!C34</f>
        <v>2</v>
      </c>
      <c r="K8" s="134" t="s">
        <v>422</v>
      </c>
      <c r="L8" s="135">
        <v>0</v>
      </c>
      <c r="M8" s="135">
        <v>0</v>
      </c>
      <c r="N8" s="135">
        <v>0</v>
      </c>
      <c r="O8" s="135">
        <v>0</v>
      </c>
    </row>
    <row r="9" spans="1:30" ht="31.5" customHeight="1" thickBot="1" x14ac:dyDescent="0.25">
      <c r="C9" s="103" t="s">
        <v>428</v>
      </c>
      <c r="D9" s="103"/>
      <c r="K9" s="134" t="s">
        <v>424</v>
      </c>
      <c r="L9" s="106">
        <f>REF_ER!C51</f>
        <v>3</v>
      </c>
      <c r="M9" s="107">
        <f>REF_ER!D51</f>
        <v>4</v>
      </c>
      <c r="N9" s="107">
        <f>REF_ER!E51</f>
        <v>4</v>
      </c>
      <c r="O9" s="108">
        <f>REF_ER!F51</f>
        <v>3</v>
      </c>
    </row>
    <row r="10" spans="1:30" x14ac:dyDescent="0.2">
      <c r="C10" s="104" t="s">
        <v>429</v>
      </c>
      <c r="D10" s="42">
        <f>REF_ER!G49</f>
        <v>3</v>
      </c>
      <c r="I10" s="84"/>
      <c r="J10" s="84"/>
      <c r="K10" s="84"/>
      <c r="L10" s="84"/>
    </row>
    <row r="11" spans="1:30" x14ac:dyDescent="0.2">
      <c r="C11" s="104" t="s">
        <v>431</v>
      </c>
      <c r="D11" s="42">
        <f>REF_ER!G50</f>
        <v>0</v>
      </c>
      <c r="I11"/>
      <c r="J11"/>
      <c r="K11"/>
      <c r="L11"/>
    </row>
    <row r="12" spans="1:30" x14ac:dyDescent="0.2">
      <c r="I12" s="84"/>
      <c r="J12" s="84"/>
      <c r="K12" s="84"/>
      <c r="L12" s="84"/>
    </row>
    <row r="13" spans="1:30" x14ac:dyDescent="0.2">
      <c r="I13"/>
      <c r="J13"/>
      <c r="K13"/>
      <c r="L13"/>
    </row>
    <row r="14" spans="1:30" ht="38.25" x14ac:dyDescent="0.2">
      <c r="B14" s="46" t="s">
        <v>352</v>
      </c>
      <c r="C14" s="46" t="s">
        <v>180</v>
      </c>
      <c r="D14" s="46" t="s">
        <v>419</v>
      </c>
      <c r="E14" s="46" t="s">
        <v>446</v>
      </c>
      <c r="F14" s="47" t="s">
        <v>426</v>
      </c>
      <c r="G14" s="47" t="s">
        <v>415</v>
      </c>
      <c r="H14" s="47" t="s">
        <v>447</v>
      </c>
      <c r="I14"/>
      <c r="J14"/>
      <c r="K14"/>
      <c r="L14"/>
    </row>
    <row r="15" spans="1:30" ht="25.5" x14ac:dyDescent="0.2">
      <c r="B15" s="47" t="s">
        <v>75</v>
      </c>
      <c r="C15" s="47" t="s">
        <v>233</v>
      </c>
      <c r="D15" s="47" t="s">
        <v>344</v>
      </c>
      <c r="E15" s="47" t="s">
        <v>36</v>
      </c>
      <c r="F15" s="42">
        <v>3</v>
      </c>
      <c r="G15" s="91">
        <v>1</v>
      </c>
      <c r="H15" s="82">
        <v>62496.750364984306</v>
      </c>
      <c r="I15"/>
      <c r="J15"/>
      <c r="K15"/>
      <c r="L15"/>
    </row>
    <row r="16" spans="1:30" ht="25.5" x14ac:dyDescent="0.2">
      <c r="B16" s="47" t="s">
        <v>76</v>
      </c>
      <c r="C16" s="47" t="s">
        <v>235</v>
      </c>
      <c r="D16" s="47" t="s">
        <v>345</v>
      </c>
      <c r="E16" s="47" t="s">
        <v>36</v>
      </c>
      <c r="F16" s="42">
        <v>4</v>
      </c>
      <c r="G16" s="91">
        <v>1</v>
      </c>
      <c r="H16" s="82">
        <v>117092.57264079335</v>
      </c>
      <c r="I16"/>
      <c r="J16"/>
      <c r="K16"/>
      <c r="L16"/>
    </row>
    <row r="17" spans="2:12" x14ac:dyDescent="0.2">
      <c r="B17" s="47" t="s">
        <v>77</v>
      </c>
      <c r="C17" s="47" t="s">
        <v>236</v>
      </c>
      <c r="D17" s="47" t="s">
        <v>344</v>
      </c>
      <c r="E17" s="47" t="s">
        <v>36</v>
      </c>
      <c r="F17" s="42">
        <v>4</v>
      </c>
      <c r="G17" s="91">
        <v>1</v>
      </c>
      <c r="H17" s="82">
        <v>103427.33220592352</v>
      </c>
      <c r="I17"/>
      <c r="J17"/>
      <c r="K17"/>
      <c r="L17"/>
    </row>
    <row r="18" spans="2:12" ht="25.5" x14ac:dyDescent="0.2">
      <c r="B18" s="47" t="s">
        <v>78</v>
      </c>
      <c r="C18" s="47" t="s">
        <v>237</v>
      </c>
      <c r="D18" s="47" t="s">
        <v>344</v>
      </c>
      <c r="E18" s="47" t="s">
        <v>36</v>
      </c>
      <c r="F18" s="42">
        <v>3</v>
      </c>
      <c r="G18" s="91">
        <v>1</v>
      </c>
      <c r="H18" s="82">
        <v>33256.827118618443</v>
      </c>
      <c r="I18"/>
      <c r="J18"/>
      <c r="K18"/>
      <c r="L18"/>
    </row>
    <row r="19" spans="2:12" x14ac:dyDescent="0.2">
      <c r="B19" s="47" t="s">
        <v>72</v>
      </c>
      <c r="C19" s="47" t="s">
        <v>230</v>
      </c>
      <c r="D19" s="47" t="s">
        <v>344</v>
      </c>
      <c r="E19" s="47" t="s">
        <v>36</v>
      </c>
      <c r="F19" s="42">
        <v>3</v>
      </c>
      <c r="G19" s="91">
        <v>1</v>
      </c>
      <c r="H19" s="82">
        <v>53365.806155048413</v>
      </c>
      <c r="I19"/>
      <c r="J19"/>
      <c r="K19"/>
      <c r="L19"/>
    </row>
    <row r="20" spans="2:12" x14ac:dyDescent="0.2">
      <c r="B20" s="47" t="s">
        <v>73</v>
      </c>
      <c r="C20" s="47" t="s">
        <v>231</v>
      </c>
      <c r="D20" s="47" t="s">
        <v>345</v>
      </c>
      <c r="E20" s="47" t="s">
        <v>36</v>
      </c>
      <c r="F20" s="42">
        <v>4</v>
      </c>
      <c r="G20" s="91">
        <v>1</v>
      </c>
      <c r="H20" s="82">
        <v>43441.923144575936</v>
      </c>
      <c r="I20"/>
      <c r="J20"/>
      <c r="K20"/>
      <c r="L20"/>
    </row>
    <row r="21" spans="2:12" x14ac:dyDescent="0.2">
      <c r="B21" s="47" t="s">
        <v>74</v>
      </c>
      <c r="C21" s="47" t="s">
        <v>232</v>
      </c>
      <c r="D21" s="47" t="s">
        <v>345</v>
      </c>
      <c r="E21" s="47" t="s">
        <v>36</v>
      </c>
      <c r="F21" s="42">
        <v>4</v>
      </c>
      <c r="G21" s="91">
        <v>0.9</v>
      </c>
      <c r="H21" s="82">
        <v>78541.988643283505</v>
      </c>
      <c r="I21"/>
      <c r="J21"/>
      <c r="K21"/>
      <c r="L21"/>
    </row>
    <row r="22" spans="2:12" x14ac:dyDescent="0.2">
      <c r="B22" s="47" t="s">
        <v>52</v>
      </c>
      <c r="C22" s="47" t="s">
        <v>189</v>
      </c>
      <c r="D22" s="47" t="s">
        <v>345</v>
      </c>
      <c r="E22" s="47" t="s">
        <v>36</v>
      </c>
      <c r="F22" s="42">
        <v>4</v>
      </c>
      <c r="G22" s="91">
        <v>0.9</v>
      </c>
      <c r="H22" s="82">
        <v>14698.364608425511</v>
      </c>
      <c r="I22"/>
      <c r="J22"/>
      <c r="K22"/>
      <c r="L22"/>
    </row>
    <row r="23" spans="2:12" ht="25.5" x14ac:dyDescent="0.2">
      <c r="B23" s="47" t="s">
        <v>61</v>
      </c>
      <c r="C23" s="47" t="s">
        <v>207</v>
      </c>
      <c r="D23" s="47" t="s">
        <v>345</v>
      </c>
      <c r="E23" s="47" t="s">
        <v>344</v>
      </c>
      <c r="F23" s="42">
        <v>4</v>
      </c>
      <c r="G23" s="91">
        <v>0.56999999999999995</v>
      </c>
      <c r="H23" s="82">
        <v>14919.050140243173</v>
      </c>
      <c r="I23"/>
      <c r="J23"/>
      <c r="K23"/>
      <c r="L23"/>
    </row>
    <row r="24" spans="2:12" ht="25.5" x14ac:dyDescent="0.2">
      <c r="B24" s="47" t="s">
        <v>62</v>
      </c>
      <c r="C24" s="47" t="s">
        <v>208</v>
      </c>
      <c r="D24" s="47" t="s">
        <v>345</v>
      </c>
      <c r="E24" s="47" t="s">
        <v>36</v>
      </c>
      <c r="F24" s="42">
        <v>4</v>
      </c>
      <c r="G24" s="91">
        <v>1</v>
      </c>
      <c r="H24" s="82">
        <v>39942.941774025567</v>
      </c>
      <c r="I24"/>
      <c r="J24"/>
      <c r="K24"/>
      <c r="L24"/>
    </row>
    <row r="25" spans="2:12" ht="25.5" x14ac:dyDescent="0.2">
      <c r="B25" s="47" t="s">
        <v>63</v>
      </c>
      <c r="C25" s="47" t="s">
        <v>211</v>
      </c>
      <c r="D25" s="47" t="s">
        <v>345</v>
      </c>
      <c r="E25" s="47" t="s">
        <v>36</v>
      </c>
      <c r="F25" s="42">
        <v>4</v>
      </c>
      <c r="G25" s="91">
        <v>1</v>
      </c>
      <c r="H25" s="82">
        <v>42259.260210232162</v>
      </c>
      <c r="I25"/>
      <c r="J25"/>
      <c r="K25"/>
      <c r="L25"/>
    </row>
    <row r="26" spans="2:12" ht="25.5" x14ac:dyDescent="0.2">
      <c r="B26" s="47" t="s">
        <v>64</v>
      </c>
      <c r="C26" s="47" t="s">
        <v>213</v>
      </c>
      <c r="D26" s="47" t="s">
        <v>345</v>
      </c>
      <c r="E26" s="47" t="s">
        <v>36</v>
      </c>
      <c r="F26" s="42">
        <v>4</v>
      </c>
      <c r="G26" s="91">
        <v>1</v>
      </c>
      <c r="H26" s="82">
        <v>53419.175504669969</v>
      </c>
      <c r="I26"/>
      <c r="J26"/>
      <c r="K26"/>
      <c r="L26"/>
    </row>
    <row r="27" spans="2:12" x14ac:dyDescent="0.2">
      <c r="B27" s="47" t="s">
        <v>65</v>
      </c>
      <c r="C27" s="47" t="s">
        <v>215</v>
      </c>
      <c r="D27" s="47" t="s">
        <v>345</v>
      </c>
      <c r="E27" s="47" t="s">
        <v>36</v>
      </c>
      <c r="F27" s="42">
        <v>4</v>
      </c>
      <c r="G27" s="91">
        <v>0.96</v>
      </c>
      <c r="H27" s="82">
        <v>30873.660911968327</v>
      </c>
      <c r="I27"/>
      <c r="J27"/>
      <c r="K27"/>
      <c r="L27"/>
    </row>
    <row r="28" spans="2:12" ht="25.5" x14ac:dyDescent="0.2">
      <c r="B28" s="47" t="s">
        <v>66</v>
      </c>
      <c r="C28" s="47" t="s">
        <v>217</v>
      </c>
      <c r="D28" s="47" t="s">
        <v>345</v>
      </c>
      <c r="E28" s="47" t="s">
        <v>36</v>
      </c>
      <c r="F28" s="42">
        <v>4</v>
      </c>
      <c r="G28" s="91">
        <v>1</v>
      </c>
      <c r="H28" s="82">
        <v>42266.141363241819</v>
      </c>
      <c r="I28"/>
      <c r="J28"/>
      <c r="K28"/>
      <c r="L28"/>
    </row>
    <row r="29" spans="2:12" x14ac:dyDescent="0.2">
      <c r="B29" s="47" t="s">
        <v>67</v>
      </c>
      <c r="C29" s="47" t="s">
        <v>219</v>
      </c>
      <c r="D29" s="47" t="s">
        <v>345</v>
      </c>
      <c r="E29" s="47" t="s">
        <v>36</v>
      </c>
      <c r="F29" s="42">
        <v>4</v>
      </c>
      <c r="G29" s="91">
        <v>0.95</v>
      </c>
      <c r="H29" s="82">
        <v>55971.371461181152</v>
      </c>
      <c r="I29"/>
      <c r="J29"/>
      <c r="K29"/>
      <c r="L29"/>
    </row>
    <row r="30" spans="2:12" x14ac:dyDescent="0.2">
      <c r="B30" s="47" t="s">
        <v>68</v>
      </c>
      <c r="C30" s="47" t="s">
        <v>221</v>
      </c>
      <c r="D30" s="47" t="s">
        <v>345</v>
      </c>
      <c r="E30" s="47" t="s">
        <v>36</v>
      </c>
      <c r="F30" s="42">
        <v>4</v>
      </c>
      <c r="G30" s="91">
        <v>1.03</v>
      </c>
      <c r="H30" s="82">
        <v>33638.674153906279</v>
      </c>
      <c r="I30"/>
      <c r="J30"/>
      <c r="K30"/>
      <c r="L30"/>
    </row>
    <row r="31" spans="2:12" x14ac:dyDescent="0.2">
      <c r="B31" s="47" t="s">
        <v>69</v>
      </c>
      <c r="C31" s="47" t="s">
        <v>224</v>
      </c>
      <c r="D31" s="47" t="s">
        <v>345</v>
      </c>
      <c r="E31" s="47" t="s">
        <v>36</v>
      </c>
      <c r="F31" s="42">
        <v>4</v>
      </c>
      <c r="G31" s="91">
        <v>1</v>
      </c>
      <c r="H31" s="82">
        <v>77811.41764304736</v>
      </c>
      <c r="I31"/>
      <c r="J31"/>
      <c r="K31"/>
      <c r="L31"/>
    </row>
    <row r="32" spans="2:12" x14ac:dyDescent="0.2">
      <c r="B32" s="47" t="s">
        <v>70</v>
      </c>
      <c r="C32" s="47" t="s">
        <v>226</v>
      </c>
      <c r="D32" s="47" t="s">
        <v>345</v>
      </c>
      <c r="E32" s="47" t="s">
        <v>36</v>
      </c>
      <c r="F32" s="42">
        <v>3</v>
      </c>
      <c r="G32" s="91">
        <v>0.91</v>
      </c>
      <c r="H32" s="82">
        <v>39782.517569878575</v>
      </c>
      <c r="I32"/>
      <c r="J32"/>
      <c r="K32"/>
      <c r="L32"/>
    </row>
    <row r="33" spans="2:31" ht="25.5" x14ac:dyDescent="0.2">
      <c r="B33" s="47" t="s">
        <v>53</v>
      </c>
      <c r="C33" s="47" t="s">
        <v>192</v>
      </c>
      <c r="D33" s="47" t="s">
        <v>345</v>
      </c>
      <c r="E33" s="47" t="s">
        <v>36</v>
      </c>
      <c r="F33" s="42">
        <v>4</v>
      </c>
      <c r="G33" s="91">
        <v>0.94</v>
      </c>
      <c r="H33" s="82">
        <v>29432.517025037174</v>
      </c>
      <c r="I33"/>
      <c r="J33"/>
      <c r="K33"/>
      <c r="L33"/>
    </row>
    <row r="34" spans="2:31" x14ac:dyDescent="0.2">
      <c r="B34" s="47" t="s">
        <v>71</v>
      </c>
      <c r="C34" s="47" t="s">
        <v>228</v>
      </c>
      <c r="D34" s="47" t="s">
        <v>344</v>
      </c>
      <c r="E34" s="47" t="s">
        <v>36</v>
      </c>
      <c r="F34" s="42">
        <v>4</v>
      </c>
      <c r="G34" s="91">
        <v>1</v>
      </c>
      <c r="H34" s="82">
        <v>53262.265630669855</v>
      </c>
      <c r="I34"/>
      <c r="J34"/>
      <c r="K34"/>
      <c r="L34"/>
    </row>
    <row r="35" spans="2:31" ht="25.5" x14ac:dyDescent="0.2">
      <c r="B35" s="47" t="s">
        <v>54</v>
      </c>
      <c r="C35" s="47" t="s">
        <v>194</v>
      </c>
      <c r="D35" s="47" t="s">
        <v>345</v>
      </c>
      <c r="E35" s="47" t="s">
        <v>36</v>
      </c>
      <c r="F35" s="42">
        <v>4</v>
      </c>
      <c r="G35" s="91">
        <v>1.06</v>
      </c>
      <c r="H35" s="82">
        <v>66384.783951671678</v>
      </c>
      <c r="I35"/>
      <c r="J35"/>
      <c r="K35"/>
    </row>
    <row r="36" spans="2:31" x14ac:dyDescent="0.2">
      <c r="B36" s="47" t="s">
        <v>55</v>
      </c>
      <c r="C36" s="47" t="s">
        <v>196</v>
      </c>
      <c r="D36" s="47" t="s">
        <v>345</v>
      </c>
      <c r="E36" s="47" t="s">
        <v>36</v>
      </c>
      <c r="F36" s="42">
        <v>4</v>
      </c>
      <c r="G36" s="91">
        <v>1.01</v>
      </c>
      <c r="H36" s="82">
        <v>88076.192779646954</v>
      </c>
      <c r="I36"/>
      <c r="J36"/>
      <c r="K36"/>
    </row>
    <row r="37" spans="2:31" x14ac:dyDescent="0.2">
      <c r="B37" s="47" t="s">
        <v>56</v>
      </c>
      <c r="C37" s="47" t="s">
        <v>198</v>
      </c>
      <c r="D37" s="47" t="s">
        <v>345</v>
      </c>
      <c r="E37" s="47" t="s">
        <v>36</v>
      </c>
      <c r="F37" s="42">
        <v>4</v>
      </c>
      <c r="G37" s="91">
        <v>1</v>
      </c>
      <c r="H37" s="82">
        <v>27264.012860512987</v>
      </c>
      <c r="I37"/>
      <c r="J37"/>
      <c r="K37"/>
    </row>
    <row r="38" spans="2:31" x14ac:dyDescent="0.2">
      <c r="B38" s="47" t="s">
        <v>57</v>
      </c>
      <c r="C38" s="47" t="s">
        <v>200</v>
      </c>
      <c r="D38" s="47" t="s">
        <v>345</v>
      </c>
      <c r="E38" s="47" t="s">
        <v>344</v>
      </c>
      <c r="F38" s="42">
        <v>4</v>
      </c>
      <c r="G38" s="91">
        <v>0.72</v>
      </c>
      <c r="H38" s="82">
        <v>15422.94104770487</v>
      </c>
      <c r="I38"/>
      <c r="J38"/>
      <c r="K38"/>
    </row>
    <row r="39" spans="2:31" x14ac:dyDescent="0.2">
      <c r="B39" s="47" t="s">
        <v>58</v>
      </c>
      <c r="C39" s="47" t="s">
        <v>202</v>
      </c>
      <c r="D39" s="47" t="s">
        <v>345</v>
      </c>
      <c r="E39" s="47" t="s">
        <v>36</v>
      </c>
      <c r="F39" s="42">
        <v>4</v>
      </c>
      <c r="G39" s="91">
        <v>0.91</v>
      </c>
      <c r="H39" s="82">
        <v>111167.40140770431</v>
      </c>
      <c r="I39"/>
      <c r="J39"/>
      <c r="K39"/>
    </row>
    <row r="40" spans="2:31" x14ac:dyDescent="0.2">
      <c r="B40" s="47" t="s">
        <v>59</v>
      </c>
      <c r="C40" s="47" t="s">
        <v>204</v>
      </c>
      <c r="D40" s="47" t="s">
        <v>345</v>
      </c>
      <c r="E40" s="47" t="s">
        <v>36</v>
      </c>
      <c r="F40" s="42">
        <v>4</v>
      </c>
      <c r="G40" s="91">
        <v>1</v>
      </c>
      <c r="H40" s="82">
        <v>28721.914551487858</v>
      </c>
      <c r="I40"/>
      <c r="J40"/>
      <c r="K40"/>
    </row>
    <row r="41" spans="2:31" ht="25.5" x14ac:dyDescent="0.2">
      <c r="B41" s="47" t="s">
        <v>60</v>
      </c>
      <c r="C41" s="47" t="s">
        <v>206</v>
      </c>
      <c r="D41" s="47" t="s">
        <v>345</v>
      </c>
      <c r="E41" s="47" t="s">
        <v>344</v>
      </c>
      <c r="F41" s="42">
        <v>4</v>
      </c>
      <c r="G41" s="91">
        <v>0.67</v>
      </c>
      <c r="H41" s="82">
        <v>16062.195131516935</v>
      </c>
      <c r="I41"/>
      <c r="J41"/>
      <c r="K41"/>
    </row>
    <row r="42" spans="2:31" x14ac:dyDescent="0.2">
      <c r="B42"/>
      <c r="C42"/>
      <c r="D42"/>
      <c r="E42"/>
      <c r="F42"/>
      <c r="G42"/>
      <c r="H42"/>
      <c r="I42"/>
      <c r="J42"/>
      <c r="K42"/>
    </row>
    <row r="43" spans="2:31" x14ac:dyDescent="0.2">
      <c r="B43"/>
      <c r="C43"/>
      <c r="D43"/>
      <c r="E43"/>
      <c r="F43"/>
      <c r="G43"/>
      <c r="H43"/>
      <c r="I43"/>
      <c r="J43"/>
      <c r="K43"/>
    </row>
    <row r="44" spans="2:31" x14ac:dyDescent="0.2">
      <c r="B44" s="85" t="s">
        <v>414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2:31" x14ac:dyDescent="0.2">
      <c r="B45"/>
      <c r="C45"/>
      <c r="D45" s="154" t="s">
        <v>75</v>
      </c>
      <c r="E45" s="154" t="s">
        <v>76</v>
      </c>
      <c r="F45" s="154" t="s">
        <v>77</v>
      </c>
      <c r="G45" s="154" t="s">
        <v>78</v>
      </c>
      <c r="H45" s="154" t="s">
        <v>72</v>
      </c>
      <c r="I45" s="154" t="s">
        <v>73</v>
      </c>
      <c r="J45" s="154" t="s">
        <v>74</v>
      </c>
      <c r="K45" s="154" t="s">
        <v>52</v>
      </c>
      <c r="L45" s="154" t="s">
        <v>61</v>
      </c>
      <c r="M45" s="154" t="s">
        <v>62</v>
      </c>
      <c r="N45" s="154" t="s">
        <v>63</v>
      </c>
      <c r="O45" s="154" t="s">
        <v>64</v>
      </c>
      <c r="P45" s="154" t="s">
        <v>65</v>
      </c>
      <c r="Q45" s="154" t="s">
        <v>66</v>
      </c>
      <c r="R45" s="154" t="s">
        <v>67</v>
      </c>
      <c r="S45" s="154" t="s">
        <v>68</v>
      </c>
      <c r="T45" s="154" t="s">
        <v>69</v>
      </c>
      <c r="U45" s="154" t="s">
        <v>70</v>
      </c>
      <c r="V45" s="154" t="s">
        <v>53</v>
      </c>
      <c r="W45" s="154" t="s">
        <v>71</v>
      </c>
      <c r="X45" s="154" t="s">
        <v>54</v>
      </c>
      <c r="Y45" s="154" t="s">
        <v>55</v>
      </c>
      <c r="Z45" s="154" t="s">
        <v>56</v>
      </c>
      <c r="AA45" s="154" t="s">
        <v>57</v>
      </c>
      <c r="AB45" s="154" t="s">
        <v>58</v>
      </c>
      <c r="AC45" s="154" t="s">
        <v>59</v>
      </c>
      <c r="AD45" s="154" t="s">
        <v>60</v>
      </c>
      <c r="AE45"/>
    </row>
    <row r="46" spans="2:31" x14ac:dyDescent="0.2">
      <c r="B46" s="154" t="s">
        <v>282</v>
      </c>
      <c r="C46" s="154" t="s">
        <v>167</v>
      </c>
      <c r="D46" s="93">
        <v>0.13636363636363635</v>
      </c>
      <c r="E46" s="93">
        <v>0.12</v>
      </c>
      <c r="F46" s="93">
        <v>7.6923076923076927E-2</v>
      </c>
      <c r="G46" s="93">
        <v>0.26470588235294118</v>
      </c>
      <c r="H46" s="93">
        <v>9.0909090909090912E-2</v>
      </c>
      <c r="I46" s="93">
        <v>7.8947368421052627E-2</v>
      </c>
      <c r="J46" s="93">
        <v>7.4999999999999997E-2</v>
      </c>
      <c r="K46" s="93">
        <v>4.8387096774193547E-2</v>
      </c>
      <c r="L46" s="93">
        <v>0.14285714285714285</v>
      </c>
      <c r="M46" s="93">
        <v>7.1428571428571425E-2</v>
      </c>
      <c r="N46" s="93">
        <v>0.14285714285714285</v>
      </c>
      <c r="O46" s="93">
        <v>7.4999999999999997E-2</v>
      </c>
      <c r="P46" s="93">
        <v>4.4117647058823532E-2</v>
      </c>
      <c r="Q46" s="93">
        <v>8.8235294117647065E-2</v>
      </c>
      <c r="R46" s="93">
        <v>6.5217391304347824E-2</v>
      </c>
      <c r="S46" s="93">
        <v>6.3829787234042548E-2</v>
      </c>
      <c r="T46" s="93">
        <v>0.10714285714285715</v>
      </c>
      <c r="U46" s="93">
        <v>0.06</v>
      </c>
      <c r="V46" s="93">
        <v>4.8387096774193547E-2</v>
      </c>
      <c r="W46" s="93">
        <v>0.125</v>
      </c>
      <c r="X46" s="93">
        <v>4.6874999999999993E-2</v>
      </c>
      <c r="Y46" s="93">
        <v>5.4545454545454543E-2</v>
      </c>
      <c r="Z46" s="93">
        <v>6.8181818181818177E-2</v>
      </c>
      <c r="AA46" s="93">
        <v>0.12000000000000002</v>
      </c>
      <c r="AB46" s="93">
        <v>7.6923076923076927E-2</v>
      </c>
      <c r="AC46" s="93">
        <v>0.10344827586206896</v>
      </c>
      <c r="AD46" s="93">
        <v>0.1111111111111111</v>
      </c>
      <c r="AE46"/>
    </row>
    <row r="47" spans="2:31" x14ac:dyDescent="0.2">
      <c r="B47" s="154" t="s">
        <v>283</v>
      </c>
      <c r="C47" s="154" t="s">
        <v>159</v>
      </c>
      <c r="D47" s="93">
        <v>0.13636363636363635</v>
      </c>
      <c r="E47" s="93">
        <v>0.24</v>
      </c>
      <c r="F47" s="93">
        <v>7.6923076923076927E-2</v>
      </c>
      <c r="G47" s="93">
        <v>0.17647058823529413</v>
      </c>
      <c r="H47" s="93">
        <v>0.15151515151515152</v>
      </c>
      <c r="I47" s="93">
        <v>0.2105263157894737</v>
      </c>
      <c r="J47" s="93">
        <v>7.4999999999999997E-2</v>
      </c>
      <c r="K47" s="93">
        <v>8.0645161290322578E-2</v>
      </c>
      <c r="L47" s="93">
        <v>0.14285714285714285</v>
      </c>
      <c r="M47" s="93">
        <v>7.1428571428571425E-2</v>
      </c>
      <c r="N47" s="93">
        <v>7.1428571428571425E-2</v>
      </c>
      <c r="O47" s="93">
        <v>0.2</v>
      </c>
      <c r="P47" s="93">
        <v>4.4117647058823532E-2</v>
      </c>
      <c r="Q47" s="93">
        <v>8.8235294117647065E-2</v>
      </c>
      <c r="R47" s="93">
        <v>6.5217391304347824E-2</v>
      </c>
      <c r="S47" s="93">
        <v>0.10638297872340426</v>
      </c>
      <c r="T47" s="93">
        <v>0.10714285714285715</v>
      </c>
      <c r="U47" s="93">
        <v>0.16</v>
      </c>
      <c r="V47" s="93">
        <v>4.8387096774193547E-2</v>
      </c>
      <c r="W47" s="93">
        <v>0.125</v>
      </c>
      <c r="X47" s="93">
        <v>0.125</v>
      </c>
      <c r="Y47" s="93">
        <v>0.14545454545454548</v>
      </c>
      <c r="Z47" s="93">
        <v>0.18181818181818182</v>
      </c>
      <c r="AA47" s="93">
        <v>0.12000000000000002</v>
      </c>
      <c r="AB47" s="93">
        <v>7.6923076923076927E-2</v>
      </c>
      <c r="AC47" s="93">
        <v>0.10344827586206896</v>
      </c>
      <c r="AD47" s="93">
        <v>0.1111111111111111</v>
      </c>
      <c r="AE47"/>
    </row>
    <row r="48" spans="2:31" x14ac:dyDescent="0.2">
      <c r="B48" s="154" t="s">
        <v>284</v>
      </c>
      <c r="C48" s="154" t="s">
        <v>285</v>
      </c>
      <c r="D48" s="93"/>
      <c r="E48" s="93"/>
      <c r="F48" s="93">
        <v>0.15384615384615385</v>
      </c>
      <c r="G48" s="93">
        <v>0.23529411764705885</v>
      </c>
      <c r="H48" s="93"/>
      <c r="I48" s="93"/>
      <c r="J48" s="93"/>
      <c r="K48" s="93"/>
      <c r="L48" s="93"/>
      <c r="M48" s="93">
        <v>7.1428571428571425E-2</v>
      </c>
      <c r="N48" s="93">
        <v>0.11904761904761904</v>
      </c>
      <c r="O48" s="93">
        <v>7.4999999999999997E-2</v>
      </c>
      <c r="P48" s="93">
        <v>4.4117647058823532E-2</v>
      </c>
      <c r="Q48" s="93"/>
      <c r="R48" s="93"/>
      <c r="S48" s="93"/>
      <c r="T48" s="93">
        <v>0.17857142857142858</v>
      </c>
      <c r="U48" s="93">
        <v>0.1</v>
      </c>
      <c r="V48" s="93">
        <v>8.0645162000000006E-2</v>
      </c>
      <c r="W48" s="93"/>
      <c r="X48" s="93"/>
      <c r="Y48" s="93">
        <v>5.4545454545454543E-2</v>
      </c>
      <c r="Z48" s="93">
        <v>6.8181818181818177E-2</v>
      </c>
      <c r="AA48" s="93">
        <v>0.12000000000000002</v>
      </c>
      <c r="AB48" s="93">
        <v>7.6923076923076927E-2</v>
      </c>
      <c r="AC48" s="93"/>
      <c r="AD48" s="93"/>
      <c r="AE48"/>
    </row>
    <row r="49" spans="2:31" x14ac:dyDescent="0.2">
      <c r="B49" s="154" t="s">
        <v>286</v>
      </c>
      <c r="C49" s="154" t="s">
        <v>287</v>
      </c>
      <c r="D49" s="93"/>
      <c r="E49" s="93">
        <v>0.2</v>
      </c>
      <c r="F49" s="93">
        <v>0.20512820512820515</v>
      </c>
      <c r="G49" s="93"/>
      <c r="H49" s="93"/>
      <c r="I49" s="93">
        <v>7.8947368421052627E-2</v>
      </c>
      <c r="J49" s="93">
        <v>7.4999999999999997E-2</v>
      </c>
      <c r="K49" s="93"/>
      <c r="L49" s="93"/>
      <c r="M49" s="93">
        <v>7.1428571428571425E-2</v>
      </c>
      <c r="N49" s="93">
        <v>7.1428571428571425E-2</v>
      </c>
      <c r="O49" s="93">
        <v>0.125</v>
      </c>
      <c r="P49" s="93">
        <v>4.4117647058823532E-2</v>
      </c>
      <c r="Q49" s="93">
        <v>0.14705882352941177</v>
      </c>
      <c r="R49" s="93">
        <v>6.5217391304347824E-2</v>
      </c>
      <c r="S49" s="93">
        <v>6.3829787234042548E-2</v>
      </c>
      <c r="T49" s="93">
        <v>0.10714285714285715</v>
      </c>
      <c r="U49" s="93">
        <v>0.06</v>
      </c>
      <c r="V49" s="93"/>
      <c r="W49" s="93">
        <v>0.125</v>
      </c>
      <c r="X49" s="93">
        <v>7.8125E-2</v>
      </c>
      <c r="Y49" s="93">
        <v>9.0909090909090912E-2</v>
      </c>
      <c r="Z49" s="93"/>
      <c r="AA49" s="93"/>
      <c r="AB49" s="93"/>
      <c r="AC49" s="93"/>
      <c r="AD49" s="93"/>
      <c r="AE49"/>
    </row>
    <row r="50" spans="2:31" x14ac:dyDescent="0.2">
      <c r="B50" s="154" t="s">
        <v>288</v>
      </c>
      <c r="C50" s="154" t="s">
        <v>175</v>
      </c>
      <c r="D50" s="93">
        <v>0.27272727272727271</v>
      </c>
      <c r="E50" s="93">
        <v>0.12</v>
      </c>
      <c r="F50" s="93">
        <v>7.6923076923076927E-2</v>
      </c>
      <c r="G50" s="93">
        <v>8.8235294117647065E-2</v>
      </c>
      <c r="H50" s="93"/>
      <c r="I50" s="93"/>
      <c r="J50" s="93"/>
      <c r="K50" s="93"/>
      <c r="L50" s="93">
        <v>9.5238095238095233E-2</v>
      </c>
      <c r="M50" s="93"/>
      <c r="N50" s="93"/>
      <c r="O50" s="93">
        <v>0.15</v>
      </c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>
        <v>7.407407407407407E-2</v>
      </c>
      <c r="AE50"/>
    </row>
    <row r="51" spans="2:31" x14ac:dyDescent="0.2">
      <c r="B51" s="154" t="s">
        <v>289</v>
      </c>
      <c r="C51" s="154" t="s">
        <v>178</v>
      </c>
      <c r="D51" s="93"/>
      <c r="E51" s="93"/>
      <c r="F51" s="93"/>
      <c r="G51" s="93"/>
      <c r="H51" s="93">
        <v>0.24242424242424246</v>
      </c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>
        <v>7.1428571428571438E-2</v>
      </c>
      <c r="U51" s="93">
        <v>0.16</v>
      </c>
      <c r="V51" s="93"/>
      <c r="W51" s="93"/>
      <c r="X51" s="93"/>
      <c r="Y51" s="93"/>
      <c r="Z51" s="93"/>
      <c r="AA51" s="93"/>
      <c r="AB51" s="93"/>
      <c r="AC51" s="93"/>
      <c r="AD51" s="93"/>
      <c r="AE51"/>
    </row>
    <row r="52" spans="2:31" x14ac:dyDescent="0.2">
      <c r="B52" s="154" t="s">
        <v>265</v>
      </c>
      <c r="C52" s="154" t="s">
        <v>141</v>
      </c>
      <c r="D52" s="93"/>
      <c r="E52" s="93"/>
      <c r="F52" s="93">
        <v>0.15384615384615385</v>
      </c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>
        <v>0.10869565217391305</v>
      </c>
      <c r="S52" s="93"/>
      <c r="T52" s="93"/>
      <c r="U52" s="93"/>
      <c r="V52" s="93"/>
      <c r="W52" s="93"/>
      <c r="X52" s="93">
        <v>0.125</v>
      </c>
      <c r="Y52" s="93">
        <v>0.10909090909090909</v>
      </c>
      <c r="Z52" s="93"/>
      <c r="AA52" s="93"/>
      <c r="AB52" s="93"/>
      <c r="AC52" s="93"/>
      <c r="AD52" s="93"/>
      <c r="AE52"/>
    </row>
    <row r="53" spans="2:31" x14ac:dyDescent="0.2">
      <c r="B53" s="154" t="s">
        <v>266</v>
      </c>
      <c r="C53" s="154" t="s">
        <v>143</v>
      </c>
      <c r="D53" s="93"/>
      <c r="E53" s="93"/>
      <c r="F53" s="93">
        <v>0.20512820512820515</v>
      </c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>
        <v>0.14545454545454548</v>
      </c>
      <c r="Z53" s="93"/>
      <c r="AA53" s="93"/>
      <c r="AB53" s="93"/>
      <c r="AC53" s="93"/>
      <c r="AD53" s="93"/>
      <c r="AE53"/>
    </row>
    <row r="54" spans="2:31" x14ac:dyDescent="0.2">
      <c r="B54" s="154" t="s">
        <v>269</v>
      </c>
      <c r="C54" s="154" t="s">
        <v>270</v>
      </c>
      <c r="D54" s="93"/>
      <c r="E54" s="93"/>
      <c r="F54" s="93"/>
      <c r="G54" s="93"/>
      <c r="H54" s="93"/>
      <c r="I54" s="93"/>
      <c r="J54" s="93">
        <v>0.15000000000000002</v>
      </c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>
        <v>0.24193548387096769</v>
      </c>
      <c r="W54" s="93"/>
      <c r="X54" s="93"/>
      <c r="Y54" s="93"/>
      <c r="Z54" s="93"/>
      <c r="AA54" s="93"/>
      <c r="AB54" s="93"/>
      <c r="AC54" s="93"/>
      <c r="AD54" s="93"/>
      <c r="AE54"/>
    </row>
    <row r="55" spans="2:31" x14ac:dyDescent="0.2">
      <c r="B55" s="154" t="s">
        <v>267</v>
      </c>
      <c r="C55" s="154" t="s">
        <v>268</v>
      </c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>
        <v>0</v>
      </c>
      <c r="W55" s="93"/>
      <c r="X55" s="93"/>
      <c r="Y55" s="93"/>
      <c r="Z55" s="93"/>
      <c r="AA55" s="93"/>
      <c r="AB55" s="93"/>
      <c r="AC55" s="93"/>
      <c r="AD55" s="93"/>
      <c r="AE55"/>
    </row>
    <row r="56" spans="2:31" x14ac:dyDescent="0.2">
      <c r="B56" s="154" t="s">
        <v>271</v>
      </c>
      <c r="C56" s="154" t="s">
        <v>146</v>
      </c>
      <c r="D56" s="93">
        <v>0.36363636363636365</v>
      </c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>
        <v>7.3529411764705885E-2</v>
      </c>
      <c r="Q56" s="93"/>
      <c r="R56" s="93"/>
      <c r="S56" s="93"/>
      <c r="T56" s="93"/>
      <c r="U56" s="93"/>
      <c r="V56" s="93"/>
      <c r="W56" s="93"/>
      <c r="X56" s="93"/>
      <c r="Y56" s="93"/>
      <c r="Z56" s="93">
        <v>0.11363636363636363</v>
      </c>
      <c r="AA56" s="93"/>
      <c r="AB56" s="93"/>
      <c r="AC56" s="93">
        <v>0.17241379310344829</v>
      </c>
      <c r="AD56" s="93"/>
      <c r="AE56"/>
    </row>
    <row r="57" spans="2:31" x14ac:dyDescent="0.2">
      <c r="B57" s="154" t="s">
        <v>273</v>
      </c>
      <c r="C57" s="154" t="s">
        <v>274</v>
      </c>
      <c r="D57" s="93"/>
      <c r="E57" s="93"/>
      <c r="F57" s="93"/>
      <c r="G57" s="93"/>
      <c r="H57" s="93"/>
      <c r="I57" s="93"/>
      <c r="J57" s="93"/>
      <c r="K57" s="93">
        <v>0.14516129032258063</v>
      </c>
      <c r="L57" s="93"/>
      <c r="M57" s="93">
        <v>0.23809523809523808</v>
      </c>
      <c r="N57" s="93">
        <v>0.23809523809523808</v>
      </c>
      <c r="O57" s="93"/>
      <c r="P57" s="93">
        <v>0.14705882352941177</v>
      </c>
      <c r="Q57" s="93">
        <v>0.23529411764705885</v>
      </c>
      <c r="R57" s="93">
        <v>0.21739130434782611</v>
      </c>
      <c r="S57" s="93">
        <v>0.1702127659574468</v>
      </c>
      <c r="T57" s="93"/>
      <c r="U57" s="93"/>
      <c r="V57" s="93">
        <v>0.17741935483870969</v>
      </c>
      <c r="W57" s="93"/>
      <c r="X57" s="93"/>
      <c r="Y57" s="93"/>
      <c r="Z57" s="93">
        <v>0.25</v>
      </c>
      <c r="AA57" s="93"/>
      <c r="AB57" s="93"/>
      <c r="AC57" s="93">
        <v>0.37931034482758619</v>
      </c>
      <c r="AD57" s="93">
        <v>0.29629629629629628</v>
      </c>
      <c r="AE57"/>
    </row>
    <row r="58" spans="2:31" x14ac:dyDescent="0.2">
      <c r="B58" s="154" t="s">
        <v>272</v>
      </c>
      <c r="C58" s="154" t="s">
        <v>149</v>
      </c>
      <c r="D58" s="93"/>
      <c r="E58" s="93"/>
      <c r="F58" s="93"/>
      <c r="G58" s="93"/>
      <c r="H58" s="93"/>
      <c r="I58" s="93"/>
      <c r="J58" s="93"/>
      <c r="K58" s="93">
        <v>0</v>
      </c>
      <c r="L58" s="93"/>
      <c r="M58" s="93">
        <v>0</v>
      </c>
      <c r="N58" s="93">
        <v>0</v>
      </c>
      <c r="O58" s="93"/>
      <c r="P58" s="93">
        <v>0</v>
      </c>
      <c r="Q58" s="93"/>
      <c r="R58" s="93">
        <v>0</v>
      </c>
      <c r="S58" s="93">
        <v>0</v>
      </c>
      <c r="T58" s="93"/>
      <c r="U58" s="93"/>
      <c r="V58" s="93">
        <v>0</v>
      </c>
      <c r="W58" s="93"/>
      <c r="X58" s="93"/>
      <c r="Y58" s="93"/>
      <c r="Z58" s="93">
        <v>0</v>
      </c>
      <c r="AA58" s="93"/>
      <c r="AB58" s="93"/>
      <c r="AC58" s="93">
        <v>0</v>
      </c>
      <c r="AD58" s="93"/>
      <c r="AE58"/>
    </row>
    <row r="59" spans="2:31" x14ac:dyDescent="0.2">
      <c r="B59" s="154" t="s">
        <v>275</v>
      </c>
      <c r="C59" s="154" t="s">
        <v>150</v>
      </c>
      <c r="D59" s="93"/>
      <c r="E59" s="93"/>
      <c r="F59" s="93"/>
      <c r="G59" s="93"/>
      <c r="H59" s="93"/>
      <c r="I59" s="93"/>
      <c r="J59" s="93"/>
      <c r="K59" s="93"/>
      <c r="L59" s="93"/>
      <c r="M59" s="93">
        <v>0.19047619047619047</v>
      </c>
      <c r="N59" s="93">
        <v>0.19047619047619047</v>
      </c>
      <c r="O59" s="93">
        <v>0.125</v>
      </c>
      <c r="P59" s="93">
        <v>7.3529411764705885E-2</v>
      </c>
      <c r="Q59" s="93">
        <v>0.23529411764705885</v>
      </c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>
        <v>0.17948717948717949</v>
      </c>
      <c r="AC59" s="93"/>
      <c r="AD59" s="93"/>
      <c r="AE59"/>
    </row>
    <row r="60" spans="2:31" x14ac:dyDescent="0.2">
      <c r="B60" s="154" t="s">
        <v>276</v>
      </c>
      <c r="C60" s="154" t="s">
        <v>152</v>
      </c>
      <c r="D60" s="93"/>
      <c r="E60" s="93"/>
      <c r="F60" s="93"/>
      <c r="G60" s="93"/>
      <c r="H60" s="93">
        <v>0.15151515151515152</v>
      </c>
      <c r="I60" s="93">
        <v>0.10526315789473685</v>
      </c>
      <c r="J60" s="93">
        <v>0.15</v>
      </c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>
        <v>8.3333333333333343E-2</v>
      </c>
      <c r="X60" s="93"/>
      <c r="Y60" s="93"/>
      <c r="Z60" s="93"/>
      <c r="AA60" s="93"/>
      <c r="AB60" s="93"/>
      <c r="AC60" s="93"/>
      <c r="AD60" s="93"/>
      <c r="AE60"/>
    </row>
    <row r="61" spans="2:31" x14ac:dyDescent="0.2">
      <c r="B61" s="154" t="s">
        <v>277</v>
      </c>
      <c r="C61" s="154" t="s">
        <v>153</v>
      </c>
      <c r="D61" s="93"/>
      <c r="E61" s="93"/>
      <c r="F61" s="93"/>
      <c r="G61" s="93"/>
      <c r="H61" s="93"/>
      <c r="I61" s="93"/>
      <c r="J61" s="93">
        <v>0.2</v>
      </c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>
        <v>8.3333333333333343E-2</v>
      </c>
      <c r="X61" s="93"/>
      <c r="Y61" s="93"/>
      <c r="Z61" s="93"/>
      <c r="AA61" s="93"/>
      <c r="AB61" s="93"/>
      <c r="AC61" s="93"/>
      <c r="AD61" s="93"/>
      <c r="AE61"/>
    </row>
    <row r="62" spans="2:31" x14ac:dyDescent="0.2">
      <c r="B62" s="154" t="s">
        <v>278</v>
      </c>
      <c r="C62" s="154" t="s">
        <v>154</v>
      </c>
      <c r="D62" s="93">
        <v>9.0909090909090912E-2</v>
      </c>
      <c r="E62" s="93">
        <v>0.08</v>
      </c>
      <c r="F62" s="93">
        <v>5.1282051282051287E-2</v>
      </c>
      <c r="G62" s="93">
        <v>0.23529411764705885</v>
      </c>
      <c r="H62" s="93">
        <v>6.0606060606060615E-2</v>
      </c>
      <c r="I62" s="93">
        <v>5.2631578947368425E-2</v>
      </c>
      <c r="J62" s="93">
        <v>0.05</v>
      </c>
      <c r="K62" s="93">
        <v>3.2258064516129031E-2</v>
      </c>
      <c r="L62" s="93">
        <v>0.19047619047619047</v>
      </c>
      <c r="M62" s="93">
        <v>4.7619047619047616E-2</v>
      </c>
      <c r="N62" s="93">
        <v>4.7619047619047616E-2</v>
      </c>
      <c r="O62" s="93">
        <v>0.05</v>
      </c>
      <c r="P62" s="93">
        <v>2.9411764705882356E-2</v>
      </c>
      <c r="Q62" s="93">
        <v>5.8823529411764712E-2</v>
      </c>
      <c r="R62" s="93">
        <v>4.3478260869565223E-2</v>
      </c>
      <c r="S62" s="93">
        <v>4.2553191489361701E-2</v>
      </c>
      <c r="T62" s="93">
        <v>7.1428571428571438E-2</v>
      </c>
      <c r="U62" s="93">
        <v>0.16</v>
      </c>
      <c r="V62" s="93">
        <v>3.2258064516129031E-2</v>
      </c>
      <c r="W62" s="93">
        <v>0.20833333333333334</v>
      </c>
      <c r="X62" s="93">
        <v>3.125E-2</v>
      </c>
      <c r="Y62" s="93">
        <v>3.6363636363636369E-2</v>
      </c>
      <c r="Z62" s="93">
        <v>4.5454545454545456E-2</v>
      </c>
      <c r="AA62" s="93">
        <v>8.0000000000000016E-2</v>
      </c>
      <c r="AB62" s="93">
        <v>5.1282051282051287E-2</v>
      </c>
      <c r="AC62" s="93">
        <v>6.8965517241379309E-2</v>
      </c>
      <c r="AD62" s="93">
        <v>7.407407407407407E-2</v>
      </c>
      <c r="AE62"/>
    </row>
    <row r="63" spans="2:31" x14ac:dyDescent="0.2">
      <c r="B63" s="154" t="s">
        <v>279</v>
      </c>
      <c r="C63" s="154" t="s">
        <v>155</v>
      </c>
      <c r="D63" s="93"/>
      <c r="E63" s="93"/>
      <c r="F63" s="93"/>
      <c r="G63" s="93"/>
      <c r="H63" s="93">
        <v>0.15151515151515152</v>
      </c>
      <c r="I63" s="93">
        <v>0.2105263157894737</v>
      </c>
      <c r="J63" s="93"/>
      <c r="K63" s="93"/>
      <c r="L63" s="93"/>
      <c r="M63" s="93">
        <v>0.11904761904761904</v>
      </c>
      <c r="N63" s="93">
        <v>0.11904761904761904</v>
      </c>
      <c r="O63" s="93"/>
      <c r="P63" s="93">
        <v>7.3529411764705885E-2</v>
      </c>
      <c r="Q63" s="93">
        <v>0.14705882352941177</v>
      </c>
      <c r="R63" s="93"/>
      <c r="S63" s="93"/>
      <c r="T63" s="93"/>
      <c r="U63" s="93"/>
      <c r="V63" s="93"/>
      <c r="W63" s="93"/>
      <c r="X63" s="93">
        <v>7.8125E-2</v>
      </c>
      <c r="Y63" s="93"/>
      <c r="Z63" s="93">
        <v>0.11363636363636363</v>
      </c>
      <c r="AA63" s="93"/>
      <c r="AB63" s="93"/>
      <c r="AC63" s="93">
        <v>0.17241379310344829</v>
      </c>
      <c r="AD63" s="93"/>
      <c r="AE63"/>
    </row>
    <row r="64" spans="2:31" x14ac:dyDescent="0.2">
      <c r="B64" s="154" t="s">
        <v>245</v>
      </c>
      <c r="C64" s="154" t="s">
        <v>246</v>
      </c>
      <c r="D64" s="93"/>
      <c r="E64" s="93"/>
      <c r="F64" s="93"/>
      <c r="G64" s="93"/>
      <c r="H64" s="93"/>
      <c r="I64" s="93"/>
      <c r="J64" s="93"/>
      <c r="K64" s="93">
        <v>0.25806451612903225</v>
      </c>
      <c r="L64" s="93"/>
      <c r="M64" s="93"/>
      <c r="N64" s="93"/>
      <c r="O64" s="93"/>
      <c r="P64" s="93">
        <v>0.20588235294117646</v>
      </c>
      <c r="Q64" s="93"/>
      <c r="R64" s="93">
        <v>0.13043478260869568</v>
      </c>
      <c r="S64" s="93">
        <v>0.1702127659574468</v>
      </c>
      <c r="T64" s="93"/>
      <c r="U64" s="93">
        <v>0.14000000000000001</v>
      </c>
      <c r="V64" s="93"/>
      <c r="W64" s="93"/>
      <c r="X64" s="93">
        <v>0.21874999999999997</v>
      </c>
      <c r="Y64" s="93">
        <v>0.12727272727272729</v>
      </c>
      <c r="Z64" s="93"/>
      <c r="AA64" s="93">
        <v>0.28000000000000003</v>
      </c>
      <c r="AB64" s="93"/>
      <c r="AC64" s="93"/>
      <c r="AD64" s="93"/>
      <c r="AE64"/>
    </row>
    <row r="65" spans="2:31" x14ac:dyDescent="0.2">
      <c r="B65" s="154" t="s">
        <v>241</v>
      </c>
      <c r="C65" s="154" t="s">
        <v>242</v>
      </c>
      <c r="D65" s="93"/>
      <c r="E65" s="93"/>
      <c r="F65" s="93"/>
      <c r="G65" s="93"/>
      <c r="H65" s="93"/>
      <c r="I65" s="93"/>
      <c r="J65" s="93"/>
      <c r="K65" s="93">
        <v>0</v>
      </c>
      <c r="L65" s="93"/>
      <c r="M65" s="93"/>
      <c r="N65" s="93"/>
      <c r="O65" s="93"/>
      <c r="P65" s="93"/>
      <c r="Q65" s="93"/>
      <c r="R65" s="93">
        <v>0</v>
      </c>
      <c r="S65" s="93">
        <v>0</v>
      </c>
      <c r="T65" s="93"/>
      <c r="U65" s="93">
        <v>0</v>
      </c>
      <c r="V65" s="93"/>
      <c r="W65" s="93"/>
      <c r="X65" s="93">
        <v>0</v>
      </c>
      <c r="Y65" s="93">
        <v>0</v>
      </c>
      <c r="Z65" s="93"/>
      <c r="AA65" s="93">
        <v>0</v>
      </c>
      <c r="AB65" s="93"/>
      <c r="AC65" s="93"/>
      <c r="AD65" s="93"/>
      <c r="AE65"/>
    </row>
    <row r="66" spans="2:31" x14ac:dyDescent="0.2">
      <c r="B66" s="154" t="s">
        <v>243</v>
      </c>
      <c r="C66" s="154" t="s">
        <v>244</v>
      </c>
      <c r="D66" s="93"/>
      <c r="E66" s="93"/>
      <c r="F66" s="93"/>
      <c r="G66" s="93"/>
      <c r="H66" s="93"/>
      <c r="I66" s="93"/>
      <c r="J66" s="93"/>
      <c r="K66" s="93">
        <v>0</v>
      </c>
      <c r="L66" s="93"/>
      <c r="M66" s="93"/>
      <c r="N66" s="93"/>
      <c r="O66" s="93"/>
      <c r="P66" s="93">
        <v>0</v>
      </c>
      <c r="Q66" s="93"/>
      <c r="R66" s="93">
        <v>0</v>
      </c>
      <c r="S66" s="93">
        <v>0</v>
      </c>
      <c r="T66" s="93"/>
      <c r="U66" s="93">
        <v>0</v>
      </c>
      <c r="V66" s="93"/>
      <c r="W66" s="93"/>
      <c r="X66" s="93">
        <v>0</v>
      </c>
      <c r="Y66" s="93">
        <v>0</v>
      </c>
      <c r="Z66" s="93"/>
      <c r="AA66" s="93">
        <v>0</v>
      </c>
      <c r="AB66" s="93"/>
      <c r="AC66" s="93"/>
      <c r="AD66" s="93"/>
      <c r="AE66"/>
    </row>
    <row r="67" spans="2:31" x14ac:dyDescent="0.2">
      <c r="B67" s="154" t="s">
        <v>247</v>
      </c>
      <c r="C67" s="154" t="s">
        <v>128</v>
      </c>
      <c r="D67" s="93"/>
      <c r="E67" s="93">
        <v>0.24</v>
      </c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/>
    </row>
    <row r="68" spans="2:31" x14ac:dyDescent="0.2">
      <c r="B68" s="154" t="s">
        <v>280</v>
      </c>
      <c r="C68" s="154" t="s">
        <v>156</v>
      </c>
      <c r="D68" s="93"/>
      <c r="E68" s="93"/>
      <c r="F68" s="93"/>
      <c r="G68" s="93"/>
      <c r="H68" s="93">
        <v>0.15151515151515152</v>
      </c>
      <c r="I68" s="93">
        <v>0.13157894736842105</v>
      </c>
      <c r="J68" s="93">
        <v>0.125</v>
      </c>
      <c r="K68" s="93">
        <v>8.0645161290322578E-2</v>
      </c>
      <c r="L68" s="93"/>
      <c r="M68" s="93">
        <v>0.11904761904761904</v>
      </c>
      <c r="N68" s="93"/>
      <c r="O68" s="93"/>
      <c r="P68" s="93"/>
      <c r="Q68" s="93"/>
      <c r="R68" s="93"/>
      <c r="S68" s="93"/>
      <c r="T68" s="93"/>
      <c r="U68" s="93"/>
      <c r="V68" s="93">
        <v>0.1129032258064516</v>
      </c>
      <c r="W68" s="93"/>
      <c r="X68" s="93"/>
      <c r="Y68" s="93"/>
      <c r="Z68" s="93">
        <v>0.15909090909090906</v>
      </c>
      <c r="AA68" s="93"/>
      <c r="AB68" s="93"/>
      <c r="AC68" s="93"/>
      <c r="AD68" s="93"/>
      <c r="AE68"/>
    </row>
    <row r="69" spans="2:31" x14ac:dyDescent="0.2">
      <c r="B69" s="154" t="s">
        <v>281</v>
      </c>
      <c r="C69" s="154" t="s">
        <v>157</v>
      </c>
      <c r="D69" s="93"/>
      <c r="E69" s="93"/>
      <c r="F69" s="93"/>
      <c r="G69" s="93"/>
      <c r="H69" s="93"/>
      <c r="I69" s="93">
        <v>0.13157894736842105</v>
      </c>
      <c r="J69" s="93"/>
      <c r="K69" s="93"/>
      <c r="L69" s="93"/>
      <c r="M69" s="93"/>
      <c r="N69" s="93"/>
      <c r="O69" s="93"/>
      <c r="P69" s="93"/>
      <c r="Q69" s="93"/>
      <c r="R69" s="93">
        <v>0.17391304347826089</v>
      </c>
      <c r="S69" s="93"/>
      <c r="T69" s="93">
        <v>0.35714285714285715</v>
      </c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/>
    </row>
    <row r="70" spans="2:31" x14ac:dyDescent="0.2">
      <c r="B70" s="154" t="s">
        <v>248</v>
      </c>
      <c r="C70" s="154" t="s">
        <v>130</v>
      </c>
      <c r="D70" s="93"/>
      <c r="E70" s="93"/>
      <c r="F70" s="93"/>
      <c r="G70" s="93"/>
      <c r="H70" s="93"/>
      <c r="I70" s="93"/>
      <c r="J70" s="93"/>
      <c r="K70" s="93"/>
      <c r="L70" s="93">
        <v>0</v>
      </c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>
        <v>0</v>
      </c>
      <c r="AE70"/>
    </row>
    <row r="71" spans="2:31" x14ac:dyDescent="0.2">
      <c r="B71" s="154" t="s">
        <v>249</v>
      </c>
      <c r="C71" s="154" t="s">
        <v>131</v>
      </c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>
        <v>7.8260869565217411E-2</v>
      </c>
      <c r="S71" s="93">
        <v>7.6595744680851063E-2</v>
      </c>
      <c r="T71" s="93"/>
      <c r="U71" s="93"/>
      <c r="V71" s="93"/>
      <c r="W71" s="93"/>
      <c r="X71" s="93">
        <v>0.16874999999999998</v>
      </c>
      <c r="Y71" s="93"/>
      <c r="Z71" s="93"/>
      <c r="AA71" s="93"/>
      <c r="AB71" s="93">
        <v>9.2307692307692313E-2</v>
      </c>
      <c r="AC71" s="93"/>
      <c r="AD71" s="93"/>
      <c r="AE71"/>
    </row>
    <row r="72" spans="2:31" x14ac:dyDescent="0.2">
      <c r="B72" s="154" t="s">
        <v>254</v>
      </c>
      <c r="C72" s="154" t="s">
        <v>255</v>
      </c>
      <c r="D72" s="93"/>
      <c r="E72" s="93"/>
      <c r="F72" s="93"/>
      <c r="G72" s="93"/>
      <c r="H72" s="93"/>
      <c r="I72" s="93"/>
      <c r="J72" s="93"/>
      <c r="K72" s="93">
        <v>0</v>
      </c>
      <c r="L72" s="93"/>
      <c r="M72" s="93"/>
      <c r="N72" s="93"/>
      <c r="O72" s="93"/>
      <c r="P72" s="93">
        <v>0</v>
      </c>
      <c r="Q72" s="93"/>
      <c r="R72" s="93"/>
      <c r="S72" s="93">
        <v>0</v>
      </c>
      <c r="T72" s="93"/>
      <c r="U72" s="93"/>
      <c r="V72" s="93">
        <v>0</v>
      </c>
      <c r="W72" s="93"/>
      <c r="X72" s="93"/>
      <c r="Y72" s="93"/>
      <c r="Z72" s="93"/>
      <c r="AA72" s="93"/>
      <c r="AB72" s="93"/>
      <c r="AC72" s="93"/>
      <c r="AD72" s="93"/>
      <c r="AE72"/>
    </row>
    <row r="73" spans="2:31" x14ac:dyDescent="0.2">
      <c r="B73" s="154" t="s">
        <v>250</v>
      </c>
      <c r="C73" s="154" t="s">
        <v>251</v>
      </c>
      <c r="D73" s="93"/>
      <c r="E73" s="93"/>
      <c r="F73" s="93"/>
      <c r="G73" s="93"/>
      <c r="H73" s="93"/>
      <c r="I73" s="93"/>
      <c r="J73" s="93"/>
      <c r="K73" s="93">
        <v>0</v>
      </c>
      <c r="L73" s="93"/>
      <c r="M73" s="93"/>
      <c r="N73" s="93"/>
      <c r="O73" s="93"/>
      <c r="P73" s="93">
        <v>0</v>
      </c>
      <c r="Q73" s="93"/>
      <c r="R73" s="93"/>
      <c r="S73" s="93">
        <v>0</v>
      </c>
      <c r="T73" s="93"/>
      <c r="U73" s="93"/>
      <c r="V73" s="93">
        <v>0</v>
      </c>
      <c r="W73" s="93"/>
      <c r="X73" s="93"/>
      <c r="Y73" s="93"/>
      <c r="Z73" s="93"/>
      <c r="AA73" s="93"/>
      <c r="AB73" s="93"/>
      <c r="AC73" s="93"/>
      <c r="AD73" s="93"/>
      <c r="AE73"/>
    </row>
    <row r="74" spans="2:31" x14ac:dyDescent="0.2">
      <c r="B74" s="154" t="s">
        <v>252</v>
      </c>
      <c r="C74" s="154" t="s">
        <v>253</v>
      </c>
      <c r="D74" s="93"/>
      <c r="E74" s="93"/>
      <c r="F74" s="93"/>
      <c r="G74" s="93"/>
      <c r="H74" s="93"/>
      <c r="I74" s="93"/>
      <c r="J74" s="93"/>
      <c r="K74" s="93">
        <v>0.25806451612903225</v>
      </c>
      <c r="L74" s="93"/>
      <c r="M74" s="93"/>
      <c r="N74" s="93"/>
      <c r="O74" s="93"/>
      <c r="P74" s="93">
        <v>0.17647058823529413</v>
      </c>
      <c r="Q74" s="93"/>
      <c r="R74" s="93"/>
      <c r="S74" s="93">
        <v>0.34042553191489361</v>
      </c>
      <c r="T74" s="93"/>
      <c r="U74" s="93"/>
      <c r="V74" s="93">
        <v>0.19354838709677419</v>
      </c>
      <c r="W74" s="93"/>
      <c r="X74" s="93"/>
      <c r="Y74" s="93"/>
      <c r="Z74" s="93"/>
      <c r="AA74" s="93"/>
      <c r="AB74" s="93"/>
      <c r="AC74" s="93"/>
      <c r="AD74" s="93"/>
      <c r="AE74"/>
    </row>
    <row r="75" spans="2:31" x14ac:dyDescent="0.2">
      <c r="B75" s="154" t="s">
        <v>260</v>
      </c>
      <c r="C75" s="154" t="s">
        <v>261</v>
      </c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>
        <v>0</v>
      </c>
      <c r="V75" s="93"/>
      <c r="W75" s="93"/>
      <c r="X75" s="93">
        <v>0</v>
      </c>
      <c r="Y75" s="93">
        <v>0</v>
      </c>
      <c r="Z75" s="93"/>
      <c r="AA75" s="93"/>
      <c r="AB75" s="93"/>
      <c r="AC75" s="93"/>
      <c r="AD75" s="93"/>
      <c r="AE75"/>
    </row>
    <row r="76" spans="2:31" x14ac:dyDescent="0.2">
      <c r="B76" s="154" t="s">
        <v>256</v>
      </c>
      <c r="C76" s="154" t="s">
        <v>257</v>
      </c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>
        <v>0</v>
      </c>
      <c r="Z76" s="93"/>
      <c r="AA76" s="93"/>
      <c r="AB76" s="93"/>
      <c r="AC76" s="93"/>
      <c r="AD76" s="93"/>
      <c r="AE76"/>
    </row>
    <row r="77" spans="2:31" x14ac:dyDescent="0.2">
      <c r="B77" s="154" t="s">
        <v>258</v>
      </c>
      <c r="C77" s="154" t="s">
        <v>259</v>
      </c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>
        <v>6.8000000000000005E-2</v>
      </c>
      <c r="V77" s="93"/>
      <c r="W77" s="93"/>
      <c r="X77" s="93">
        <v>7.9687499999999994E-2</v>
      </c>
      <c r="Y77" s="93">
        <v>0.24727272727272726</v>
      </c>
      <c r="Z77" s="93"/>
      <c r="AA77" s="93"/>
      <c r="AB77" s="93"/>
      <c r="AC77" s="93"/>
      <c r="AD77" s="93"/>
      <c r="AE77"/>
    </row>
    <row r="78" spans="2:31" x14ac:dyDescent="0.2">
      <c r="B78" s="154" t="s">
        <v>262</v>
      </c>
      <c r="C78" s="154" t="s">
        <v>136</v>
      </c>
      <c r="D78" s="93"/>
      <c r="E78" s="93"/>
      <c r="F78" s="93"/>
      <c r="G78" s="93"/>
      <c r="H78" s="93"/>
      <c r="I78" s="93"/>
      <c r="J78" s="93">
        <v>0</v>
      </c>
      <c r="K78" s="93">
        <v>0</v>
      </c>
      <c r="L78" s="93"/>
      <c r="M78" s="93"/>
      <c r="N78" s="93"/>
      <c r="O78" s="93"/>
      <c r="P78" s="93"/>
      <c r="Q78" s="93"/>
      <c r="R78" s="93">
        <v>0</v>
      </c>
      <c r="S78" s="93">
        <v>0</v>
      </c>
      <c r="T78" s="93"/>
      <c r="U78" s="93">
        <v>0</v>
      </c>
      <c r="V78" s="93">
        <v>0</v>
      </c>
      <c r="W78" s="93"/>
      <c r="X78" s="93">
        <v>0</v>
      </c>
      <c r="Y78" s="93">
        <v>0</v>
      </c>
      <c r="Z78" s="93"/>
      <c r="AA78" s="93">
        <v>0</v>
      </c>
      <c r="AB78" s="93">
        <v>0</v>
      </c>
      <c r="AC78" s="93"/>
      <c r="AD78" s="93"/>
      <c r="AE78"/>
    </row>
    <row r="79" spans="2:31" x14ac:dyDescent="0.2">
      <c r="B79" s="154" t="s">
        <v>263</v>
      </c>
      <c r="C79" s="154" t="s">
        <v>137</v>
      </c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>
        <v>0.17948717948717949</v>
      </c>
      <c r="AC79" s="93"/>
      <c r="AD79" s="93"/>
      <c r="AE79"/>
    </row>
    <row r="80" spans="2:31" x14ac:dyDescent="0.2">
      <c r="B80" s="154" t="s">
        <v>264</v>
      </c>
      <c r="C80" s="154" t="s">
        <v>139</v>
      </c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>
        <v>0.2</v>
      </c>
      <c r="P80" s="93"/>
      <c r="Q80" s="93"/>
      <c r="R80" s="93"/>
      <c r="S80" s="93"/>
      <c r="T80" s="93"/>
      <c r="U80" s="93"/>
      <c r="V80" s="93"/>
      <c r="W80" s="93">
        <v>0.25</v>
      </c>
      <c r="X80" s="93">
        <v>0.10937499999999999</v>
      </c>
      <c r="Y80" s="93"/>
      <c r="Z80" s="93"/>
      <c r="AA80" s="93"/>
      <c r="AB80" s="93">
        <v>0.17948717948717949</v>
      </c>
      <c r="AC80" s="93"/>
      <c r="AD80" s="93"/>
      <c r="AE80"/>
    </row>
    <row r="81" spans="2:31" x14ac:dyDescent="0.2">
      <c r="B81" s="154" t="s">
        <v>350</v>
      </c>
      <c r="C81"/>
      <c r="D81" s="93">
        <v>1</v>
      </c>
      <c r="E81" s="93">
        <v>0.99999999999999989</v>
      </c>
      <c r="F81" s="93">
        <v>1</v>
      </c>
      <c r="G81" s="93">
        <v>1</v>
      </c>
      <c r="H81" s="93">
        <v>1</v>
      </c>
      <c r="I81" s="93">
        <v>1</v>
      </c>
      <c r="J81" s="93">
        <v>0.89999999999999991</v>
      </c>
      <c r="K81" s="93">
        <v>0.90322580645161288</v>
      </c>
      <c r="L81" s="93">
        <v>0.5714285714285714</v>
      </c>
      <c r="M81" s="93">
        <v>0.99999999999999978</v>
      </c>
      <c r="N81" s="93">
        <v>1</v>
      </c>
      <c r="O81" s="93">
        <v>0.99999999999999989</v>
      </c>
      <c r="P81" s="93">
        <v>0.95588235294117618</v>
      </c>
      <c r="Q81" s="93">
        <v>1</v>
      </c>
      <c r="R81" s="93">
        <v>0.9478260869565216</v>
      </c>
      <c r="S81" s="93">
        <v>1.0340425531914894</v>
      </c>
      <c r="T81" s="93">
        <v>1.0000000000000002</v>
      </c>
      <c r="U81" s="93">
        <v>0.90800000000000003</v>
      </c>
      <c r="V81" s="93">
        <v>0.9354838716774192</v>
      </c>
      <c r="W81" s="93">
        <v>1</v>
      </c>
      <c r="X81" s="93">
        <v>1.0609375000000001</v>
      </c>
      <c r="Y81" s="93">
        <v>1.010909090909091</v>
      </c>
      <c r="Z81" s="93">
        <v>1</v>
      </c>
      <c r="AA81" s="93">
        <v>0.72000000000000008</v>
      </c>
      <c r="AB81" s="93">
        <v>0.91282051282051291</v>
      </c>
      <c r="AC81" s="93">
        <v>1</v>
      </c>
      <c r="AD81" s="93">
        <v>0.66666666666666663</v>
      </c>
      <c r="AE81"/>
    </row>
    <row r="83" spans="2:31" x14ac:dyDescent="0.2">
      <c r="B83" s="85" t="s">
        <v>416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2:31" x14ac:dyDescent="0.2">
      <c r="B84"/>
      <c r="C84"/>
      <c r="D84" s="154" t="s">
        <v>75</v>
      </c>
      <c r="E84" s="154" t="s">
        <v>76</v>
      </c>
      <c r="F84" s="154" t="s">
        <v>77</v>
      </c>
      <c r="G84" s="154" t="s">
        <v>78</v>
      </c>
      <c r="H84" s="154" t="s">
        <v>72</v>
      </c>
      <c r="I84" s="154" t="s">
        <v>73</v>
      </c>
      <c r="J84" s="154" t="s">
        <v>74</v>
      </c>
      <c r="K84" s="154" t="s">
        <v>52</v>
      </c>
      <c r="L84" s="154" t="s">
        <v>61</v>
      </c>
      <c r="M84" s="154" t="s">
        <v>62</v>
      </c>
      <c r="N84" s="154" t="s">
        <v>63</v>
      </c>
      <c r="O84" s="154" t="s">
        <v>64</v>
      </c>
      <c r="P84" s="154" t="s">
        <v>65</v>
      </c>
      <c r="Q84" s="154" t="s">
        <v>66</v>
      </c>
      <c r="R84" s="154" t="s">
        <v>67</v>
      </c>
      <c r="S84" s="154" t="s">
        <v>68</v>
      </c>
      <c r="T84" s="154" t="s">
        <v>69</v>
      </c>
      <c r="U84" s="154" t="s">
        <v>70</v>
      </c>
      <c r="V84" s="154" t="s">
        <v>53</v>
      </c>
      <c r="W84" s="154" t="s">
        <v>71</v>
      </c>
      <c r="X84" s="154" t="s">
        <v>54</v>
      </c>
      <c r="Y84" s="154" t="s">
        <v>55</v>
      </c>
      <c r="Z84" s="154" t="s">
        <v>56</v>
      </c>
      <c r="AA84" s="154" t="s">
        <v>57</v>
      </c>
      <c r="AB84" s="154" t="s">
        <v>58</v>
      </c>
      <c r="AC84" s="154" t="s">
        <v>59</v>
      </c>
      <c r="AD84" s="154" t="s">
        <v>60</v>
      </c>
      <c r="AE84" s="154" t="s">
        <v>350</v>
      </c>
    </row>
    <row r="85" spans="2:31" x14ac:dyDescent="0.2">
      <c r="B85" s="154" t="s">
        <v>282</v>
      </c>
      <c r="C85" s="154" t="s">
        <v>167</v>
      </c>
      <c r="D85" s="88">
        <v>4298.0984035516785</v>
      </c>
      <c r="E85" s="88">
        <v>3782.3265951254775</v>
      </c>
      <c r="F85" s="88">
        <v>2424.5683302086395</v>
      </c>
      <c r="G85" s="88">
        <v>8343.3674892473773</v>
      </c>
      <c r="H85" s="88">
        <v>2865.3989357011196</v>
      </c>
      <c r="I85" s="88">
        <v>2488.3727599509721</v>
      </c>
      <c r="J85" s="88">
        <v>2363.9541219534235</v>
      </c>
      <c r="K85" s="88">
        <v>1525.1316915828538</v>
      </c>
      <c r="L85" s="88">
        <v>4502.7697561017585</v>
      </c>
      <c r="M85" s="88">
        <v>2251.3848780508793</v>
      </c>
      <c r="N85" s="88">
        <v>4502.7697561017585</v>
      </c>
      <c r="O85" s="88">
        <v>2363.9541219534235</v>
      </c>
      <c r="P85" s="88">
        <v>1390.5612482078961</v>
      </c>
      <c r="Q85" s="88">
        <v>2781.1224964157923</v>
      </c>
      <c r="R85" s="88">
        <v>2055.6122799594987</v>
      </c>
      <c r="S85" s="88">
        <v>2011.8758484709983</v>
      </c>
      <c r="T85" s="88">
        <v>3377.0773170763196</v>
      </c>
      <c r="U85" s="88">
        <v>1891.1632975627388</v>
      </c>
      <c r="V85" s="88">
        <v>1525.1316915828538</v>
      </c>
      <c r="W85" s="88">
        <v>3939.923536589039</v>
      </c>
      <c r="X85" s="88">
        <v>1477.4713262208895</v>
      </c>
      <c r="Y85" s="88">
        <v>1719.2393614206715</v>
      </c>
      <c r="Z85" s="88">
        <v>2149.0492017758393</v>
      </c>
      <c r="AA85" s="88">
        <v>3782.3265951254784</v>
      </c>
      <c r="AB85" s="88">
        <v>2424.5683302086395</v>
      </c>
      <c r="AC85" s="88">
        <v>3260.6263751081701</v>
      </c>
      <c r="AD85" s="88">
        <v>3502.1542547458125</v>
      </c>
      <c r="AE85" s="88">
        <v>78999.999999999985</v>
      </c>
    </row>
    <row r="86" spans="2:31" x14ac:dyDescent="0.2">
      <c r="B86" s="154" t="s">
        <v>284</v>
      </c>
      <c r="C86" s="154" t="s">
        <v>285</v>
      </c>
      <c r="D86" s="88"/>
      <c r="E86" s="88"/>
      <c r="F86" s="88">
        <v>9827.5633180100758</v>
      </c>
      <c r="G86" s="88">
        <v>15030.390956956588</v>
      </c>
      <c r="H86" s="88"/>
      <c r="I86" s="88"/>
      <c r="J86" s="88"/>
      <c r="K86" s="88"/>
      <c r="L86" s="88"/>
      <c r="M86" s="88">
        <v>4562.7972547903919</v>
      </c>
      <c r="N86" s="88">
        <v>7604.6620913173192</v>
      </c>
      <c r="O86" s="88">
        <v>4790.937117529912</v>
      </c>
      <c r="P86" s="88">
        <v>2818.1983044293597</v>
      </c>
      <c r="Q86" s="88"/>
      <c r="R86" s="88"/>
      <c r="S86" s="88"/>
      <c r="T86" s="88">
        <v>11406.99313697598</v>
      </c>
      <c r="U86" s="88">
        <v>6387.9161567065494</v>
      </c>
      <c r="V86" s="88">
        <v>5151.545333000171</v>
      </c>
      <c r="W86" s="88"/>
      <c r="X86" s="88"/>
      <c r="Y86" s="88">
        <v>3484.3179036581178</v>
      </c>
      <c r="Z86" s="88">
        <v>4355.397379572647</v>
      </c>
      <c r="AA86" s="88">
        <v>7665.4993880478596</v>
      </c>
      <c r="AB86" s="88">
        <v>4913.7816590050379</v>
      </c>
      <c r="AC86" s="88"/>
      <c r="AD86" s="88"/>
      <c r="AE86" s="88">
        <v>88000</v>
      </c>
    </row>
    <row r="87" spans="2:31" x14ac:dyDescent="0.2">
      <c r="B87" s="154" t="s">
        <v>286</v>
      </c>
      <c r="C87" s="154" t="s">
        <v>287</v>
      </c>
      <c r="D87" s="88"/>
      <c r="E87" s="88">
        <v>10818.652982580712</v>
      </c>
      <c r="F87" s="88">
        <v>11096.054341108424</v>
      </c>
      <c r="G87" s="88"/>
      <c r="H87" s="88"/>
      <c r="I87" s="88">
        <v>4270.5209141765963</v>
      </c>
      <c r="J87" s="88">
        <v>4056.994868467767</v>
      </c>
      <c r="K87" s="88"/>
      <c r="L87" s="88"/>
      <c r="M87" s="88">
        <v>3863.8046366359681</v>
      </c>
      <c r="N87" s="88">
        <v>3863.8046366359681</v>
      </c>
      <c r="O87" s="88">
        <v>6761.6581141129445</v>
      </c>
      <c r="P87" s="88">
        <v>2386.4675696869217</v>
      </c>
      <c r="Q87" s="88">
        <v>7954.8918989564054</v>
      </c>
      <c r="R87" s="88">
        <v>3527.8216247545797</v>
      </c>
      <c r="S87" s="88">
        <v>3452.7615901853328</v>
      </c>
      <c r="T87" s="88">
        <v>5795.7069549539528</v>
      </c>
      <c r="U87" s="88">
        <v>3245.5958947742133</v>
      </c>
      <c r="V87" s="88"/>
      <c r="W87" s="88">
        <v>6761.6581141129445</v>
      </c>
      <c r="X87" s="88">
        <v>4226.0363213205901</v>
      </c>
      <c r="Y87" s="88">
        <v>4917.5695375366868</v>
      </c>
      <c r="Z87" s="88"/>
      <c r="AA87" s="88"/>
      <c r="AB87" s="88"/>
      <c r="AC87" s="88"/>
      <c r="AD87" s="88"/>
      <c r="AE87" s="88">
        <v>87000</v>
      </c>
    </row>
    <row r="88" spans="2:31" x14ac:dyDescent="0.2">
      <c r="B88" s="154" t="s">
        <v>288</v>
      </c>
      <c r="C88" s="154" t="s">
        <v>175</v>
      </c>
      <c r="D88" s="88">
        <v>27670.756710503811</v>
      </c>
      <c r="E88" s="88">
        <v>12175.132952621676</v>
      </c>
      <c r="F88" s="88">
        <v>7804.5724055267165</v>
      </c>
      <c r="G88" s="88">
        <v>8952.3036416335872</v>
      </c>
      <c r="H88" s="88"/>
      <c r="I88" s="88"/>
      <c r="J88" s="88"/>
      <c r="K88" s="88"/>
      <c r="L88" s="88">
        <v>9662.8039306521223</v>
      </c>
      <c r="M88" s="88"/>
      <c r="N88" s="88"/>
      <c r="O88" s="88">
        <v>15218.916190777096</v>
      </c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>
        <v>7515.5141682849853</v>
      </c>
      <c r="AE88" s="88">
        <v>89000</v>
      </c>
    </row>
    <row r="89" spans="2:31" x14ac:dyDescent="0.2">
      <c r="B89" s="154" t="s">
        <v>289</v>
      </c>
      <c r="C89" s="154" t="s">
        <v>178</v>
      </c>
      <c r="D89" s="88"/>
      <c r="E89" s="88"/>
      <c r="F89" s="88"/>
      <c r="G89" s="88"/>
      <c r="H89" s="88">
        <v>28649.735063036729</v>
      </c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>
        <v>8441.439795359036</v>
      </c>
      <c r="U89" s="88">
        <v>18908.82514160424</v>
      </c>
      <c r="V89" s="88"/>
      <c r="W89" s="88"/>
      <c r="X89" s="88"/>
      <c r="Y89" s="88"/>
      <c r="Z89" s="88"/>
      <c r="AA89" s="88"/>
      <c r="AB89" s="88"/>
      <c r="AC89" s="88"/>
      <c r="AD89" s="88"/>
      <c r="AE89" s="88">
        <v>56000.000000000007</v>
      </c>
    </row>
    <row r="90" spans="2:31" x14ac:dyDescent="0.2">
      <c r="B90" s="154" t="s">
        <v>265</v>
      </c>
      <c r="C90" s="154" t="s">
        <v>141</v>
      </c>
      <c r="D90" s="88"/>
      <c r="E90" s="88"/>
      <c r="F90" s="88">
        <v>7124.9062552611849</v>
      </c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>
        <v>5033.9011586084471</v>
      </c>
      <c r="S90" s="88"/>
      <c r="T90" s="88"/>
      <c r="U90" s="88"/>
      <c r="V90" s="88"/>
      <c r="W90" s="88"/>
      <c r="X90" s="88">
        <v>5788.9863323997124</v>
      </c>
      <c r="Y90" s="88">
        <v>5052.2062537306583</v>
      </c>
      <c r="Z90" s="88"/>
      <c r="AA90" s="88"/>
      <c r="AB90" s="88"/>
      <c r="AC90" s="88"/>
      <c r="AD90" s="88"/>
      <c r="AE90" s="88">
        <v>23000.000000000004</v>
      </c>
    </row>
    <row r="91" spans="2:31" x14ac:dyDescent="0.2">
      <c r="B91" s="154" t="s">
        <v>266</v>
      </c>
      <c r="C91" s="154" t="s">
        <v>143</v>
      </c>
      <c r="D91" s="88"/>
      <c r="E91" s="88"/>
      <c r="F91" s="88">
        <v>64946.808510638301</v>
      </c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>
        <v>46053.191489361707</v>
      </c>
      <c r="Z91" s="88"/>
      <c r="AA91" s="88"/>
      <c r="AB91" s="88"/>
      <c r="AC91" s="88"/>
      <c r="AD91" s="88"/>
      <c r="AE91" s="88">
        <v>111000</v>
      </c>
    </row>
    <row r="92" spans="2:31" x14ac:dyDescent="0.2">
      <c r="B92" s="154" t="s">
        <v>269</v>
      </c>
      <c r="C92" s="154" t="s">
        <v>270</v>
      </c>
      <c r="D92" s="88"/>
      <c r="E92" s="88"/>
      <c r="F92" s="88"/>
      <c r="G92" s="88"/>
      <c r="H92" s="88"/>
      <c r="I92" s="88"/>
      <c r="J92" s="88">
        <v>8037.0370370370383</v>
      </c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>
        <v>12962.962962962962</v>
      </c>
      <c r="W92" s="88"/>
      <c r="X92" s="88"/>
      <c r="Y92" s="88"/>
      <c r="Z92" s="88"/>
      <c r="AA92" s="88"/>
      <c r="AB92" s="88"/>
      <c r="AC92" s="88"/>
      <c r="AD92" s="88"/>
      <c r="AE92" s="88">
        <v>21000</v>
      </c>
    </row>
    <row r="93" spans="2:31" x14ac:dyDescent="0.2">
      <c r="B93" s="154" t="s">
        <v>267</v>
      </c>
      <c r="C93" s="154" t="s">
        <v>268</v>
      </c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>
        <v>0</v>
      </c>
      <c r="W93" s="88"/>
      <c r="X93" s="88"/>
      <c r="Y93" s="88"/>
      <c r="Z93" s="88"/>
      <c r="AA93" s="88"/>
      <c r="AB93" s="88"/>
      <c r="AC93" s="88"/>
      <c r="AD93" s="88"/>
      <c r="AE93" s="88">
        <v>0</v>
      </c>
    </row>
    <row r="94" spans="2:31" x14ac:dyDescent="0.2">
      <c r="B94" s="154" t="s">
        <v>271</v>
      </c>
      <c r="C94" s="154" t="s">
        <v>146</v>
      </c>
      <c r="D94" s="88">
        <v>30168.281489036202</v>
      </c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>
        <v>6100.2039775624671</v>
      </c>
      <c r="Q94" s="88"/>
      <c r="R94" s="88"/>
      <c r="S94" s="88"/>
      <c r="T94" s="88"/>
      <c r="U94" s="88"/>
      <c r="V94" s="88"/>
      <c r="W94" s="88"/>
      <c r="X94" s="88"/>
      <c r="Y94" s="88"/>
      <c r="Z94" s="88">
        <v>9427.5879653238135</v>
      </c>
      <c r="AA94" s="88"/>
      <c r="AB94" s="88"/>
      <c r="AC94" s="88">
        <v>14303.92656807751</v>
      </c>
      <c r="AD94" s="88"/>
      <c r="AE94" s="88">
        <v>59999.999999999985</v>
      </c>
    </row>
    <row r="95" spans="2:31" x14ac:dyDescent="0.2">
      <c r="B95" s="154" t="s">
        <v>273</v>
      </c>
      <c r="C95" s="154" t="s">
        <v>274</v>
      </c>
      <c r="D95" s="88"/>
      <c r="E95" s="88"/>
      <c r="F95" s="88"/>
      <c r="G95" s="88"/>
      <c r="H95" s="88"/>
      <c r="I95" s="88"/>
      <c r="J95" s="88"/>
      <c r="K95" s="88">
        <v>2327.8557768294218</v>
      </c>
      <c r="L95" s="88"/>
      <c r="M95" s="88">
        <v>3818.1761418895276</v>
      </c>
      <c r="N95" s="88">
        <v>3818.1761418895276</v>
      </c>
      <c r="O95" s="88"/>
      <c r="P95" s="88">
        <v>2358.2852641082382</v>
      </c>
      <c r="Q95" s="88">
        <v>3773.2564225731808</v>
      </c>
      <c r="R95" s="88">
        <v>3486.1608252034821</v>
      </c>
      <c r="S95" s="88">
        <v>2729.5897524997476</v>
      </c>
      <c r="T95" s="88"/>
      <c r="U95" s="88"/>
      <c r="V95" s="88">
        <v>2845.1570605692937</v>
      </c>
      <c r="W95" s="88"/>
      <c r="X95" s="88"/>
      <c r="Y95" s="88"/>
      <c r="Z95" s="88">
        <v>4009.0849489840043</v>
      </c>
      <c r="AA95" s="88"/>
      <c r="AB95" s="88"/>
      <c r="AC95" s="88">
        <v>6082.7495777688337</v>
      </c>
      <c r="AD95" s="88">
        <v>4751.5080876847451</v>
      </c>
      <c r="AE95" s="88">
        <v>40000</v>
      </c>
    </row>
    <row r="96" spans="2:31" x14ac:dyDescent="0.2">
      <c r="B96" s="154" t="s">
        <v>272</v>
      </c>
      <c r="C96" s="154" t="s">
        <v>149</v>
      </c>
      <c r="D96" s="88"/>
      <c r="E96" s="88"/>
      <c r="F96" s="88"/>
      <c r="G96" s="88"/>
      <c r="H96" s="88"/>
      <c r="I96" s="88"/>
      <c r="J96" s="88"/>
      <c r="K96" s="88">
        <v>0</v>
      </c>
      <c r="L96" s="88"/>
      <c r="M96" s="88">
        <v>0</v>
      </c>
      <c r="N96" s="88">
        <v>0</v>
      </c>
      <c r="O96" s="88"/>
      <c r="P96" s="88">
        <v>0</v>
      </c>
      <c r="Q96" s="88"/>
      <c r="R96" s="88">
        <v>0</v>
      </c>
      <c r="S96" s="88">
        <v>0</v>
      </c>
      <c r="T96" s="88"/>
      <c r="U96" s="88"/>
      <c r="V96" s="88">
        <v>0</v>
      </c>
      <c r="W96" s="88"/>
      <c r="X96" s="88"/>
      <c r="Y96" s="88"/>
      <c r="Z96" s="88">
        <v>0</v>
      </c>
      <c r="AA96" s="88"/>
      <c r="AB96" s="88"/>
      <c r="AC96" s="88">
        <v>0</v>
      </c>
      <c r="AD96" s="88"/>
      <c r="AE96" s="88">
        <v>0</v>
      </c>
    </row>
    <row r="97" spans="2:31" x14ac:dyDescent="0.2">
      <c r="B97" s="154" t="s">
        <v>275</v>
      </c>
      <c r="C97" s="154" t="s">
        <v>150</v>
      </c>
      <c r="D97" s="88"/>
      <c r="E97" s="88"/>
      <c r="F97" s="88"/>
      <c r="G97" s="88"/>
      <c r="H97" s="88"/>
      <c r="I97" s="88"/>
      <c r="J97" s="88"/>
      <c r="K97" s="88"/>
      <c r="L97" s="88"/>
      <c r="M97" s="88">
        <v>18965.948801300281</v>
      </c>
      <c r="N97" s="88">
        <v>18965.948801300281</v>
      </c>
      <c r="O97" s="88">
        <v>12446.403900853311</v>
      </c>
      <c r="P97" s="88">
        <v>7321.4140593254779</v>
      </c>
      <c r="Q97" s="88">
        <v>23428.524989841528</v>
      </c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>
        <v>17871.759447379114</v>
      </c>
      <c r="AC97" s="88"/>
      <c r="AD97" s="88"/>
      <c r="AE97" s="88">
        <v>99000</v>
      </c>
    </row>
    <row r="98" spans="2:31" x14ac:dyDescent="0.2">
      <c r="B98" s="154" t="s">
        <v>276</v>
      </c>
      <c r="C98" s="154" t="s">
        <v>152</v>
      </c>
      <c r="D98" s="88"/>
      <c r="E98" s="88"/>
      <c r="F98" s="88"/>
      <c r="G98" s="88"/>
      <c r="H98" s="88">
        <v>13602.342987308819</v>
      </c>
      <c r="I98" s="88">
        <v>9450.0488122356019</v>
      </c>
      <c r="J98" s="88">
        <v>13466.319557435731</v>
      </c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>
        <v>7481.2886430198505</v>
      </c>
      <c r="X98" s="88"/>
      <c r="Y98" s="88"/>
      <c r="Z98" s="88"/>
      <c r="AA98" s="88"/>
      <c r="AB98" s="88"/>
      <c r="AC98" s="88"/>
      <c r="AD98" s="88"/>
      <c r="AE98" s="88">
        <v>44000</v>
      </c>
    </row>
    <row r="99" spans="2:31" x14ac:dyDescent="0.2">
      <c r="B99" s="154" t="s">
        <v>277</v>
      </c>
      <c r="C99" s="154" t="s">
        <v>153</v>
      </c>
      <c r="D99" s="88"/>
      <c r="E99" s="88"/>
      <c r="F99" s="88"/>
      <c r="G99" s="88"/>
      <c r="H99" s="88"/>
      <c r="I99" s="88"/>
      <c r="J99" s="88">
        <v>47294.117647058825</v>
      </c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>
        <v>19705.882352941178</v>
      </c>
      <c r="X99" s="88"/>
      <c r="Y99" s="88"/>
      <c r="Z99" s="88"/>
      <c r="AA99" s="88"/>
      <c r="AB99" s="88"/>
      <c r="AC99" s="88"/>
      <c r="AD99" s="88"/>
      <c r="AE99" s="88">
        <v>67000</v>
      </c>
    </row>
    <row r="100" spans="2:31" x14ac:dyDescent="0.2">
      <c r="B100" s="154" t="s">
        <v>278</v>
      </c>
      <c r="C100" s="154" t="s">
        <v>154</v>
      </c>
      <c r="D100" s="88">
        <v>359.61376189261665</v>
      </c>
      <c r="E100" s="88">
        <v>316.46011046550268</v>
      </c>
      <c r="F100" s="88">
        <v>202.85904517019404</v>
      </c>
      <c r="G100" s="88">
        <v>930.76503078089024</v>
      </c>
      <c r="H100" s="88">
        <v>239.74250792841116</v>
      </c>
      <c r="I100" s="88">
        <v>208.19744109572545</v>
      </c>
      <c r="J100" s="88">
        <v>197.78756904093916</v>
      </c>
      <c r="K100" s="88">
        <v>127.60488325221881</v>
      </c>
      <c r="L100" s="88">
        <v>753.476453489292</v>
      </c>
      <c r="M100" s="88">
        <v>188.369113372323</v>
      </c>
      <c r="N100" s="88">
        <v>188.369113372323</v>
      </c>
      <c r="O100" s="88">
        <v>197.78756904093916</v>
      </c>
      <c r="P100" s="88">
        <v>116.34562884761128</v>
      </c>
      <c r="Q100" s="88">
        <v>232.69125769522256</v>
      </c>
      <c r="R100" s="88">
        <v>171.98919047038191</v>
      </c>
      <c r="S100" s="88">
        <v>168.32984599228865</v>
      </c>
      <c r="T100" s="88">
        <v>282.55367005848456</v>
      </c>
      <c r="U100" s="88">
        <v>632.92022093100536</v>
      </c>
      <c r="V100" s="88">
        <v>127.60488325221881</v>
      </c>
      <c r="W100" s="88">
        <v>824.11487100391321</v>
      </c>
      <c r="X100" s="88">
        <v>123.61723065058698</v>
      </c>
      <c r="Y100" s="88">
        <v>143.84550475704668</v>
      </c>
      <c r="Z100" s="88">
        <v>179.80688094630833</v>
      </c>
      <c r="AA100" s="88">
        <v>316.46011046550274</v>
      </c>
      <c r="AB100" s="88">
        <v>202.85904517019404</v>
      </c>
      <c r="AC100" s="88">
        <v>272.81044005646777</v>
      </c>
      <c r="AD100" s="88">
        <v>293.01862080139136</v>
      </c>
      <c r="AE100" s="88">
        <v>8000</v>
      </c>
    </row>
    <row r="101" spans="2:31" x14ac:dyDescent="0.2">
      <c r="B101" s="154" t="s">
        <v>279</v>
      </c>
      <c r="C101" s="154" t="s">
        <v>155</v>
      </c>
      <c r="D101" s="88"/>
      <c r="E101" s="88"/>
      <c r="F101" s="88"/>
      <c r="G101" s="88"/>
      <c r="H101" s="88">
        <v>4219.7650340554364</v>
      </c>
      <c r="I101" s="88">
        <v>5863.2524683717647</v>
      </c>
      <c r="J101" s="88"/>
      <c r="K101" s="88"/>
      <c r="L101" s="88"/>
      <c r="M101" s="88">
        <v>3315.5296696149858</v>
      </c>
      <c r="N101" s="88">
        <v>3315.5296696149858</v>
      </c>
      <c r="O101" s="88"/>
      <c r="P101" s="88">
        <v>2047.8271488798441</v>
      </c>
      <c r="Q101" s="88">
        <v>4095.6542977596882</v>
      </c>
      <c r="R101" s="88"/>
      <c r="S101" s="88"/>
      <c r="T101" s="88"/>
      <c r="U101" s="88"/>
      <c r="V101" s="88"/>
      <c r="W101" s="88"/>
      <c r="X101" s="88">
        <v>2175.8163456848347</v>
      </c>
      <c r="Y101" s="88"/>
      <c r="Z101" s="88">
        <v>3164.8237755415776</v>
      </c>
      <c r="AA101" s="88"/>
      <c r="AB101" s="88"/>
      <c r="AC101" s="88">
        <v>4801.8015904768763</v>
      </c>
      <c r="AD101" s="88"/>
      <c r="AE101" s="88">
        <v>32999.999999999993</v>
      </c>
    </row>
    <row r="102" spans="2:31" x14ac:dyDescent="0.2">
      <c r="B102" s="154" t="s">
        <v>245</v>
      </c>
      <c r="C102" s="154" t="s">
        <v>246</v>
      </c>
      <c r="D102" s="88"/>
      <c r="E102" s="88"/>
      <c r="F102" s="88"/>
      <c r="G102" s="88"/>
      <c r="H102" s="88"/>
      <c r="I102" s="88"/>
      <c r="J102" s="88"/>
      <c r="K102" s="88">
        <v>3372.0322157290584</v>
      </c>
      <c r="L102" s="88"/>
      <c r="M102" s="88"/>
      <c r="N102" s="88"/>
      <c r="O102" s="88"/>
      <c r="P102" s="88">
        <v>2690.1874662250207</v>
      </c>
      <c r="Q102" s="88"/>
      <c r="R102" s="88">
        <v>1704.3423699065354</v>
      </c>
      <c r="S102" s="88">
        <v>2224.1063550553363</v>
      </c>
      <c r="T102" s="88"/>
      <c r="U102" s="88">
        <v>1829.3274770330145</v>
      </c>
      <c r="V102" s="88"/>
      <c r="W102" s="88"/>
      <c r="X102" s="88">
        <v>2858.3241828640844</v>
      </c>
      <c r="Y102" s="88">
        <v>1663.0249791209224</v>
      </c>
      <c r="Z102" s="88"/>
      <c r="AA102" s="88">
        <v>3658.6549540660289</v>
      </c>
      <c r="AB102" s="88"/>
      <c r="AC102" s="88"/>
      <c r="AD102" s="88"/>
      <c r="AE102" s="88">
        <v>20000</v>
      </c>
    </row>
    <row r="103" spans="2:31" x14ac:dyDescent="0.2">
      <c r="B103" s="154" t="s">
        <v>241</v>
      </c>
      <c r="C103" s="154" t="s">
        <v>242</v>
      </c>
      <c r="D103" s="88"/>
      <c r="E103" s="88"/>
      <c r="F103" s="88"/>
      <c r="G103" s="88"/>
      <c r="H103" s="88"/>
      <c r="I103" s="88"/>
      <c r="J103" s="88"/>
      <c r="K103" s="88">
        <v>0</v>
      </c>
      <c r="L103" s="88"/>
      <c r="M103" s="88"/>
      <c r="N103" s="88"/>
      <c r="O103" s="88"/>
      <c r="P103" s="88"/>
      <c r="Q103" s="88"/>
      <c r="R103" s="88">
        <v>0</v>
      </c>
      <c r="S103" s="88">
        <v>0</v>
      </c>
      <c r="T103" s="88"/>
      <c r="U103" s="88">
        <v>0</v>
      </c>
      <c r="V103" s="88"/>
      <c r="W103" s="88"/>
      <c r="X103" s="88">
        <v>0</v>
      </c>
      <c r="Y103" s="88">
        <v>0</v>
      </c>
      <c r="Z103" s="88"/>
      <c r="AA103" s="88">
        <v>0</v>
      </c>
      <c r="AB103" s="88"/>
      <c r="AC103" s="88"/>
      <c r="AD103" s="88"/>
      <c r="AE103" s="88">
        <v>0</v>
      </c>
    </row>
    <row r="104" spans="2:31" x14ac:dyDescent="0.2">
      <c r="B104" s="154" t="s">
        <v>243</v>
      </c>
      <c r="C104" s="154" t="s">
        <v>244</v>
      </c>
      <c r="D104" s="88"/>
      <c r="E104" s="88"/>
      <c r="F104" s="88"/>
      <c r="G104" s="88"/>
      <c r="H104" s="88"/>
      <c r="I104" s="88"/>
      <c r="J104" s="88"/>
      <c r="K104" s="88">
        <v>0</v>
      </c>
      <c r="L104" s="88"/>
      <c r="M104" s="88"/>
      <c r="N104" s="88"/>
      <c r="O104" s="88"/>
      <c r="P104" s="88">
        <v>0</v>
      </c>
      <c r="Q104" s="88"/>
      <c r="R104" s="88">
        <v>0</v>
      </c>
      <c r="S104" s="88">
        <v>0</v>
      </c>
      <c r="T104" s="88"/>
      <c r="U104" s="88">
        <v>0</v>
      </c>
      <c r="V104" s="88"/>
      <c r="W104" s="88"/>
      <c r="X104" s="88">
        <v>0</v>
      </c>
      <c r="Y104" s="88">
        <v>0</v>
      </c>
      <c r="Z104" s="88"/>
      <c r="AA104" s="88">
        <v>0</v>
      </c>
      <c r="AB104" s="88"/>
      <c r="AC104" s="88"/>
      <c r="AD104" s="88"/>
      <c r="AE104" s="88">
        <v>0</v>
      </c>
    </row>
    <row r="105" spans="2:31" x14ac:dyDescent="0.2">
      <c r="B105" s="154" t="s">
        <v>247</v>
      </c>
      <c r="C105" s="154" t="s">
        <v>128</v>
      </c>
      <c r="D105" s="88"/>
      <c r="E105" s="88">
        <v>90000</v>
      </c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>
        <v>90000</v>
      </c>
    </row>
    <row r="106" spans="2:31" x14ac:dyDescent="0.2">
      <c r="B106" s="154" t="s">
        <v>280</v>
      </c>
      <c r="C106" s="154" t="s">
        <v>156</v>
      </c>
      <c r="D106" s="88"/>
      <c r="E106" s="88"/>
      <c r="F106" s="88"/>
      <c r="G106" s="88"/>
      <c r="H106" s="88">
        <v>3788.8216270179005</v>
      </c>
      <c r="I106" s="88">
        <v>3290.2924655681763</v>
      </c>
      <c r="J106" s="88">
        <v>3125.7778422897677</v>
      </c>
      <c r="K106" s="88">
        <v>2016.6308659933986</v>
      </c>
      <c r="L106" s="88"/>
      <c r="M106" s="88">
        <v>2976.9312783712071</v>
      </c>
      <c r="N106" s="88"/>
      <c r="O106" s="88"/>
      <c r="P106" s="88"/>
      <c r="Q106" s="88"/>
      <c r="R106" s="88"/>
      <c r="S106" s="88"/>
      <c r="T106" s="88"/>
      <c r="U106" s="88"/>
      <c r="V106" s="88">
        <v>2823.2832123907574</v>
      </c>
      <c r="W106" s="88"/>
      <c r="X106" s="88"/>
      <c r="Y106" s="88"/>
      <c r="Z106" s="88">
        <v>3978.2627083687948</v>
      </c>
      <c r="AA106" s="88"/>
      <c r="AB106" s="88"/>
      <c r="AC106" s="88"/>
      <c r="AD106" s="88"/>
      <c r="AE106" s="88">
        <v>22000.000000000004</v>
      </c>
    </row>
    <row r="107" spans="2:31" x14ac:dyDescent="0.2">
      <c r="B107" s="154" t="s">
        <v>281</v>
      </c>
      <c r="C107" s="154" t="s">
        <v>157</v>
      </c>
      <c r="D107" s="88"/>
      <c r="E107" s="88"/>
      <c r="F107" s="88"/>
      <c r="G107" s="88"/>
      <c r="H107" s="88"/>
      <c r="I107" s="88">
        <v>17871.238283177106</v>
      </c>
      <c r="J107" s="88"/>
      <c r="K107" s="88"/>
      <c r="L107" s="88"/>
      <c r="M107" s="88"/>
      <c r="N107" s="88"/>
      <c r="O107" s="88"/>
      <c r="P107" s="88"/>
      <c r="Q107" s="88"/>
      <c r="R107" s="88">
        <v>23621.114948199312</v>
      </c>
      <c r="S107" s="88"/>
      <c r="T107" s="88">
        <v>48507.646768623585</v>
      </c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>
        <v>90000</v>
      </c>
    </row>
    <row r="108" spans="2:31" x14ac:dyDescent="0.2">
      <c r="B108" s="154" t="s">
        <v>248</v>
      </c>
      <c r="C108" s="154" t="s">
        <v>130</v>
      </c>
      <c r="D108" s="88"/>
      <c r="E108" s="88"/>
      <c r="F108" s="88"/>
      <c r="G108" s="88"/>
      <c r="H108" s="88"/>
      <c r="I108" s="88"/>
      <c r="J108" s="88"/>
      <c r="K108" s="88"/>
      <c r="L108" s="88">
        <v>0</v>
      </c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>
        <v>0</v>
      </c>
      <c r="AE108" s="88">
        <v>0</v>
      </c>
    </row>
    <row r="109" spans="2:31" x14ac:dyDescent="0.2">
      <c r="B109" s="154" t="s">
        <v>249</v>
      </c>
      <c r="C109" s="154" t="s">
        <v>131</v>
      </c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>
        <v>16370.429064078922</v>
      </c>
      <c r="S109" s="88">
        <v>16022.122062715536</v>
      </c>
      <c r="T109" s="88"/>
      <c r="U109" s="88"/>
      <c r="V109" s="88"/>
      <c r="W109" s="88"/>
      <c r="X109" s="88">
        <v>35298.737669420159</v>
      </c>
      <c r="Y109" s="88"/>
      <c r="Z109" s="88"/>
      <c r="AA109" s="88"/>
      <c r="AB109" s="88">
        <v>19308.711203785391</v>
      </c>
      <c r="AC109" s="88"/>
      <c r="AD109" s="88"/>
      <c r="AE109" s="88">
        <v>87000.000000000015</v>
      </c>
    </row>
    <row r="110" spans="2:31" x14ac:dyDescent="0.2">
      <c r="B110" s="154" t="s">
        <v>254</v>
      </c>
      <c r="C110" s="154" t="s">
        <v>255</v>
      </c>
      <c r="D110" s="88"/>
      <c r="E110" s="88"/>
      <c r="F110" s="88"/>
      <c r="G110" s="88"/>
      <c r="H110" s="88"/>
      <c r="I110" s="88"/>
      <c r="J110" s="88"/>
      <c r="K110" s="88">
        <v>0</v>
      </c>
      <c r="L110" s="88"/>
      <c r="M110" s="88"/>
      <c r="N110" s="88"/>
      <c r="O110" s="88"/>
      <c r="P110" s="88">
        <v>0</v>
      </c>
      <c r="Q110" s="88"/>
      <c r="R110" s="88"/>
      <c r="S110" s="88">
        <v>0</v>
      </c>
      <c r="T110" s="88"/>
      <c r="U110" s="88"/>
      <c r="V110" s="88">
        <v>0</v>
      </c>
      <c r="W110" s="88"/>
      <c r="X110" s="88"/>
      <c r="Y110" s="88"/>
      <c r="Z110" s="88"/>
      <c r="AA110" s="88"/>
      <c r="AB110" s="88"/>
      <c r="AC110" s="88"/>
      <c r="AD110" s="88"/>
      <c r="AE110" s="88">
        <v>0</v>
      </c>
    </row>
    <row r="111" spans="2:31" x14ac:dyDescent="0.2">
      <c r="B111" s="154" t="s">
        <v>250</v>
      </c>
      <c r="C111" s="154" t="s">
        <v>251</v>
      </c>
      <c r="D111" s="88"/>
      <c r="E111" s="88"/>
      <c r="F111" s="88"/>
      <c r="G111" s="88"/>
      <c r="H111" s="88"/>
      <c r="I111" s="88"/>
      <c r="J111" s="88"/>
      <c r="K111" s="88">
        <v>0</v>
      </c>
      <c r="L111" s="88"/>
      <c r="M111" s="88"/>
      <c r="N111" s="88"/>
      <c r="O111" s="88"/>
      <c r="P111" s="88">
        <v>0</v>
      </c>
      <c r="Q111" s="88"/>
      <c r="R111" s="88"/>
      <c r="S111" s="88">
        <v>0</v>
      </c>
      <c r="T111" s="88"/>
      <c r="U111" s="88"/>
      <c r="V111" s="88">
        <v>0</v>
      </c>
      <c r="W111" s="88"/>
      <c r="X111" s="88"/>
      <c r="Y111" s="88"/>
      <c r="Z111" s="88"/>
      <c r="AA111" s="88"/>
      <c r="AB111" s="88"/>
      <c r="AC111" s="88"/>
      <c r="AD111" s="88"/>
      <c r="AE111" s="88">
        <v>0</v>
      </c>
    </row>
    <row r="112" spans="2:31" x14ac:dyDescent="0.2">
      <c r="B112" s="154" t="s">
        <v>252</v>
      </c>
      <c r="C112" s="154" t="s">
        <v>253</v>
      </c>
      <c r="D112" s="88"/>
      <c r="E112" s="88"/>
      <c r="F112" s="88"/>
      <c r="G112" s="88"/>
      <c r="H112" s="88"/>
      <c r="I112" s="88"/>
      <c r="J112" s="88"/>
      <c r="K112" s="88">
        <v>5329.1091750385585</v>
      </c>
      <c r="L112" s="88"/>
      <c r="M112" s="88"/>
      <c r="N112" s="88"/>
      <c r="O112" s="88"/>
      <c r="P112" s="88">
        <v>3644.1702446954855</v>
      </c>
      <c r="Q112" s="88"/>
      <c r="R112" s="88"/>
      <c r="S112" s="88">
        <v>7029.8886989870352</v>
      </c>
      <c r="T112" s="88"/>
      <c r="U112" s="88"/>
      <c r="V112" s="88">
        <v>3996.8318812789194</v>
      </c>
      <c r="W112" s="88"/>
      <c r="X112" s="88"/>
      <c r="Y112" s="88"/>
      <c r="Z112" s="88"/>
      <c r="AA112" s="88"/>
      <c r="AB112" s="88"/>
      <c r="AC112" s="88"/>
      <c r="AD112" s="88"/>
      <c r="AE112" s="88">
        <v>20000</v>
      </c>
    </row>
    <row r="113" spans="2:31" x14ac:dyDescent="0.2">
      <c r="B113" s="154" t="s">
        <v>260</v>
      </c>
      <c r="C113" s="154" t="s">
        <v>261</v>
      </c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>
        <v>0</v>
      </c>
      <c r="V113" s="88"/>
      <c r="W113" s="88"/>
      <c r="X113" s="88">
        <v>0</v>
      </c>
      <c r="Y113" s="88">
        <v>0</v>
      </c>
      <c r="Z113" s="88"/>
      <c r="AA113" s="88"/>
      <c r="AB113" s="88"/>
      <c r="AC113" s="88"/>
      <c r="AD113" s="88"/>
      <c r="AE113" s="88">
        <v>0</v>
      </c>
    </row>
    <row r="114" spans="2:31" x14ac:dyDescent="0.2">
      <c r="B114" s="154" t="s">
        <v>256</v>
      </c>
      <c r="C114" s="154" t="s">
        <v>257</v>
      </c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>
        <v>0</v>
      </c>
      <c r="Z114" s="88"/>
      <c r="AA114" s="88"/>
      <c r="AB114" s="88"/>
      <c r="AC114" s="88"/>
      <c r="AD114" s="88"/>
      <c r="AE114" s="88">
        <v>0</v>
      </c>
    </row>
    <row r="115" spans="2:31" x14ac:dyDescent="0.2">
      <c r="B115" s="154" t="s">
        <v>258</v>
      </c>
      <c r="C115" s="154" t="s">
        <v>259</v>
      </c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>
        <v>6886.769381266814</v>
      </c>
      <c r="V115" s="88"/>
      <c r="W115" s="88"/>
      <c r="X115" s="88">
        <v>8070.4328686720482</v>
      </c>
      <c r="Y115" s="88">
        <v>25042.797750061141</v>
      </c>
      <c r="Z115" s="88"/>
      <c r="AA115" s="88"/>
      <c r="AB115" s="88"/>
      <c r="AC115" s="88"/>
      <c r="AD115" s="88"/>
      <c r="AE115" s="88">
        <v>40000.000000000007</v>
      </c>
    </row>
    <row r="116" spans="2:31" x14ac:dyDescent="0.2">
      <c r="B116" s="154" t="s">
        <v>262</v>
      </c>
      <c r="C116" s="154" t="s">
        <v>136</v>
      </c>
      <c r="D116" s="88"/>
      <c r="E116" s="88"/>
      <c r="F116" s="88"/>
      <c r="G116" s="88"/>
      <c r="H116" s="88"/>
      <c r="I116" s="88"/>
      <c r="J116" s="88">
        <v>0</v>
      </c>
      <c r="K116" s="88">
        <v>0</v>
      </c>
      <c r="L116" s="88"/>
      <c r="M116" s="88"/>
      <c r="N116" s="88"/>
      <c r="O116" s="88"/>
      <c r="P116" s="88"/>
      <c r="Q116" s="88"/>
      <c r="R116" s="88">
        <v>0</v>
      </c>
      <c r="S116" s="88">
        <v>0</v>
      </c>
      <c r="T116" s="88"/>
      <c r="U116" s="88">
        <v>0</v>
      </c>
      <c r="V116" s="88">
        <v>0</v>
      </c>
      <c r="W116" s="88"/>
      <c r="X116" s="88">
        <v>0</v>
      </c>
      <c r="Y116" s="88">
        <v>0</v>
      </c>
      <c r="Z116" s="88"/>
      <c r="AA116" s="88">
        <v>0</v>
      </c>
      <c r="AB116" s="88">
        <v>0</v>
      </c>
      <c r="AC116" s="88"/>
      <c r="AD116" s="88"/>
      <c r="AE116" s="88">
        <v>0</v>
      </c>
    </row>
    <row r="117" spans="2:31" x14ac:dyDescent="0.2">
      <c r="B117" s="154" t="s">
        <v>263</v>
      </c>
      <c r="C117" s="154" t="s">
        <v>137</v>
      </c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>
        <v>56000</v>
      </c>
      <c r="AC117" s="88"/>
      <c r="AD117" s="88"/>
      <c r="AE117" s="88">
        <v>56000</v>
      </c>
    </row>
    <row r="118" spans="2:31" x14ac:dyDescent="0.2">
      <c r="B118" s="154" t="s">
        <v>264</v>
      </c>
      <c r="C118" s="154" t="s">
        <v>139</v>
      </c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>
        <v>11639.518490402343</v>
      </c>
      <c r="P118" s="88"/>
      <c r="Q118" s="88"/>
      <c r="R118" s="88"/>
      <c r="S118" s="88"/>
      <c r="T118" s="88"/>
      <c r="U118" s="88"/>
      <c r="V118" s="88"/>
      <c r="W118" s="88">
        <v>14549.398113002928</v>
      </c>
      <c r="X118" s="88">
        <v>6365.36167443878</v>
      </c>
      <c r="Y118" s="88"/>
      <c r="Z118" s="88"/>
      <c r="AA118" s="88"/>
      <c r="AB118" s="88">
        <v>10445.721722155948</v>
      </c>
      <c r="AC118" s="88"/>
      <c r="AD118" s="88"/>
      <c r="AE118" s="88">
        <v>43000</v>
      </c>
    </row>
    <row r="119" spans="2:31" x14ac:dyDescent="0.2">
      <c r="B119" s="154" t="s">
        <v>350</v>
      </c>
      <c r="C119"/>
      <c r="D119" s="88">
        <v>62496.750364984306</v>
      </c>
      <c r="E119" s="88">
        <v>117092.57264079335</v>
      </c>
      <c r="F119" s="88">
        <v>103427.33220592352</v>
      </c>
      <c r="G119" s="88">
        <v>33256.827118618443</v>
      </c>
      <c r="H119" s="88">
        <v>53365.806155048413</v>
      </c>
      <c r="I119" s="88">
        <v>43441.923144575936</v>
      </c>
      <c r="J119" s="88">
        <v>78541.988643283505</v>
      </c>
      <c r="K119" s="88">
        <v>14698.364608425511</v>
      </c>
      <c r="L119" s="88">
        <v>14919.050140243173</v>
      </c>
      <c r="M119" s="88">
        <v>39942.941774025567</v>
      </c>
      <c r="N119" s="88">
        <v>42259.260210232162</v>
      </c>
      <c r="O119" s="88">
        <v>53419.175504669969</v>
      </c>
      <c r="P119" s="88">
        <v>30873.660911968327</v>
      </c>
      <c r="Q119" s="88">
        <v>42266.141363241819</v>
      </c>
      <c r="R119" s="88">
        <v>55971.371461181152</v>
      </c>
      <c r="S119" s="88">
        <v>33638.674153906279</v>
      </c>
      <c r="T119" s="88">
        <v>77811.41764304736</v>
      </c>
      <c r="U119" s="88">
        <v>39782.517569878575</v>
      </c>
      <c r="V119" s="88">
        <v>29432.517025037174</v>
      </c>
      <c r="W119" s="88">
        <v>53262.265630669855</v>
      </c>
      <c r="X119" s="88">
        <v>66384.783951671678</v>
      </c>
      <c r="Y119" s="88">
        <v>88076.192779646954</v>
      </c>
      <c r="Z119" s="88">
        <v>27264.012860512987</v>
      </c>
      <c r="AA119" s="88">
        <v>15422.94104770487</v>
      </c>
      <c r="AB119" s="88">
        <v>111167.40140770431</v>
      </c>
      <c r="AC119" s="88">
        <v>28721.914551487858</v>
      </c>
      <c r="AD119" s="88">
        <v>16062.195131516935</v>
      </c>
      <c r="AE119" s="88">
        <v>1373000.0000000005</v>
      </c>
    </row>
    <row r="120" spans="2:31" x14ac:dyDescent="0.2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</row>
  </sheetData>
  <mergeCells count="2">
    <mergeCell ref="L4:O4"/>
    <mergeCell ref="A1:W1"/>
  </mergeCells>
  <conditionalFormatting pivot="1" sqref="F15:F41">
    <cfRule type="iconSet" priority="7">
      <iconSet iconSet="3Flags" reverse="1">
        <cfvo type="percent" val="0"/>
        <cfvo type="num" val="3"/>
        <cfvo type="num" val="4"/>
      </iconSet>
    </cfRule>
  </conditionalFormatting>
  <conditionalFormatting sqref="E15:E41">
    <cfRule type="containsText" dxfId="162" priority="5" operator="containsText" text="Fort">
      <formula>NOT(ISERROR(SEARCH("Fort",E15)))</formula>
    </cfRule>
    <cfRule type="cellIs" dxfId="161" priority="6" operator="equal">
      <formula>"Critique"</formula>
    </cfRule>
  </conditionalFormatting>
  <conditionalFormatting sqref="D5:D8 D10">
    <cfRule type="iconSet" priority="2">
      <iconSet iconSet="3Flags" reverse="1">
        <cfvo type="percent" val="0"/>
        <cfvo type="num" val="3"/>
        <cfvo type="num" val="4"/>
      </iconSet>
    </cfRule>
  </conditionalFormatting>
  <conditionalFormatting sqref="D11">
    <cfRule type="iconSet" priority="1">
      <iconSet iconSet="3Flags" reverse="1">
        <cfvo type="percent" val="0"/>
        <cfvo type="num" val="3"/>
        <cfvo type="num" val="4"/>
      </iconSet>
    </cfRule>
  </conditionalFormatting>
  <pageMargins left="0.7" right="0.7" top="0.75" bottom="0.75" header="0.3" footer="0.3"/>
  <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3" id="{00000000-000E-0000-0500-000003000000}">
            <x14:iconSet iconSet="3Symbols2" custom="1">
              <x14:cfvo type="percent">
                <xm:f>0</xm:f>
              </x14:cfvo>
              <x14:cfvo type="num">
                <xm:f>0.99</xm:f>
              </x14:cfvo>
              <x14:cfvo type="num" gte="0">
                <xm:f>1</xm:f>
              </x14:cfvo>
              <x14:cfIcon iconSet="NoIcons" iconId="0"/>
              <x14:cfIcon iconSet="3Symbols2" iconId="1"/>
              <x14:cfIcon iconSet="3Symbols2" iconId="0"/>
            </x14:iconSet>
          </x14:cfRule>
          <xm:sqref>G15:G41</xm:sqref>
        </x14:conditionalFormatting>
      </x14:conditionalFormattings>
    </ex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E140-8F0C-4AFD-8936-438953F2DF16}">
  <dimension ref="A1:G51"/>
  <sheetViews>
    <sheetView workbookViewId="0">
      <selection activeCell="G49" sqref="G49"/>
    </sheetView>
  </sheetViews>
  <sheetFormatPr baseColWidth="10" defaultColWidth="11.42578125" defaultRowHeight="12.75" x14ac:dyDescent="0.2"/>
  <cols>
    <col min="1" max="1" width="15.5703125" style="65" customWidth="1"/>
    <col min="2" max="2" width="62.85546875" style="65" customWidth="1"/>
    <col min="3" max="5" width="15.5703125" style="65" customWidth="1"/>
    <col min="6" max="6" width="11.42578125" style="65"/>
    <col min="7" max="7" width="54" style="65" bestFit="1" customWidth="1"/>
    <col min="8" max="8" width="16.42578125" style="65" bestFit="1" customWidth="1"/>
    <col min="9" max="9" width="11" style="65" bestFit="1" customWidth="1"/>
    <col min="10" max="10" width="7.5703125" style="65" bestFit="1" customWidth="1"/>
    <col min="11" max="11" width="6.5703125" style="65" bestFit="1" customWidth="1"/>
    <col min="12" max="12" width="11.5703125" style="65" bestFit="1" customWidth="1"/>
    <col min="13" max="16384" width="11.42578125" style="65"/>
  </cols>
  <sheetData>
    <row r="1" spans="1:5" ht="25.5" x14ac:dyDescent="0.2">
      <c r="A1" s="97" t="s">
        <v>50</v>
      </c>
      <c r="B1" s="97" t="s">
        <v>48</v>
      </c>
      <c r="C1" s="97" t="s">
        <v>49</v>
      </c>
      <c r="D1" s="97" t="s">
        <v>347</v>
      </c>
      <c r="E1" s="97" t="s">
        <v>51</v>
      </c>
    </row>
    <row r="2" spans="1:5" x14ac:dyDescent="0.2">
      <c r="A2" s="98" t="str">
        <f>INPUT_ContexteBIA!B25</f>
        <v>Modéré</v>
      </c>
      <c r="B2" s="99" t="str">
        <f>"Incapacité à réaliser le processus " &amp;INPUT_ContexteBIA!B4</f>
        <v>Incapacité à réaliser le processus Analyser le marché</v>
      </c>
      <c r="C2" s="96" t="s">
        <v>32</v>
      </c>
      <c r="D2" s="98">
        <f>REF_ER!C38</f>
        <v>2</v>
      </c>
      <c r="E2" s="99" t="s">
        <v>44</v>
      </c>
    </row>
    <row r="3" spans="1:5" x14ac:dyDescent="0.2">
      <c r="A3" s="98" t="str">
        <f>INPUT_ContexteBIA!B26</f>
        <v>Important</v>
      </c>
      <c r="B3" s="99" t="str">
        <f>"Incapacité à réaliser le processus " &amp;INPUT_ContexteBIA!B5</f>
        <v>Incapacité à réaliser le processus Concevoir des voitures</v>
      </c>
      <c r="C3" s="96" t="s">
        <v>32</v>
      </c>
      <c r="D3" s="98">
        <f>REF_ER!C39</f>
        <v>3</v>
      </c>
      <c r="E3" s="99" t="s">
        <v>44</v>
      </c>
    </row>
    <row r="4" spans="1:5" x14ac:dyDescent="0.2">
      <c r="A4" s="98" t="str">
        <f>INPUT_ContexteBIA!B27</f>
        <v>Négligeable</v>
      </c>
      <c r="B4" s="99" t="str">
        <f>"Incapacité à réaliser le processus " &amp;INPUT_ContexteBIA!B6</f>
        <v>Incapacité à réaliser le processus Contruire des voitures</v>
      </c>
      <c r="C4" s="96" t="s">
        <v>32</v>
      </c>
      <c r="D4" s="98">
        <f>REF_ER!C40</f>
        <v>1</v>
      </c>
      <c r="E4" s="99" t="s">
        <v>44</v>
      </c>
    </row>
    <row r="5" spans="1:5" x14ac:dyDescent="0.2">
      <c r="A5" s="98">
        <f>INPUT_ContexteBIA!B28</f>
        <v>0</v>
      </c>
      <c r="B5" s="99" t="str">
        <f>"Incapacité à réaliser le processus " &amp;INPUT_ContexteBIA!B7</f>
        <v xml:space="preserve">Incapacité à réaliser le processus </v>
      </c>
      <c r="C5" s="96" t="s">
        <v>32</v>
      </c>
      <c r="D5" s="98" t="str">
        <f>REF_ER!C41</f>
        <v/>
      </c>
      <c r="E5" s="99" t="s">
        <v>44</v>
      </c>
    </row>
    <row r="6" spans="1:5" ht="25.5" x14ac:dyDescent="0.2">
      <c r="A6" s="97" t="s">
        <v>50</v>
      </c>
      <c r="B6" s="97" t="s">
        <v>48</v>
      </c>
      <c r="C6" s="97" t="s">
        <v>49</v>
      </c>
      <c r="D6" s="97" t="s">
        <v>347</v>
      </c>
      <c r="E6" s="97" t="s">
        <v>51</v>
      </c>
    </row>
    <row r="7" spans="1:5" x14ac:dyDescent="0.2">
      <c r="A7" s="98" t="str">
        <f>INPUT_ContexteBIA!C25</f>
        <v>Important</v>
      </c>
      <c r="B7" s="99" t="str">
        <f>"Altération du processus " &amp;INPUT_ContexteBIA!B4</f>
        <v>Altération du processus Analyser le marché</v>
      </c>
      <c r="C7" s="96" t="s">
        <v>32</v>
      </c>
      <c r="D7" s="98">
        <f>REF_ER!D38</f>
        <v>3</v>
      </c>
      <c r="E7" s="99" t="s">
        <v>45</v>
      </c>
    </row>
    <row r="8" spans="1:5" x14ac:dyDescent="0.2">
      <c r="A8" s="98" t="str">
        <f>INPUT_ContexteBIA!C26</f>
        <v>Important</v>
      </c>
      <c r="B8" s="99" t="str">
        <f>"Altération du processus " &amp;INPUT_ContexteBIA!B5</f>
        <v>Altération du processus Concevoir des voitures</v>
      </c>
      <c r="C8" s="96" t="s">
        <v>32</v>
      </c>
      <c r="D8" s="98">
        <f>REF_ER!D39</f>
        <v>3</v>
      </c>
      <c r="E8" s="99" t="s">
        <v>45</v>
      </c>
    </row>
    <row r="9" spans="1:5" x14ac:dyDescent="0.2">
      <c r="A9" s="98" t="str">
        <f>INPUT_ContexteBIA!C27</f>
        <v>Grave</v>
      </c>
      <c r="B9" s="99" t="str">
        <f>"Altération du processus " &amp;INPUT_ContexteBIA!B6</f>
        <v>Altération du processus Contruire des voitures</v>
      </c>
      <c r="C9" s="96" t="s">
        <v>32</v>
      </c>
      <c r="D9" s="98">
        <f>REF_ER!D40</f>
        <v>4</v>
      </c>
      <c r="E9" s="99" t="s">
        <v>45</v>
      </c>
    </row>
    <row r="10" spans="1:5" x14ac:dyDescent="0.2">
      <c r="A10" s="98">
        <f>INPUT_ContexteBIA!C28</f>
        <v>0</v>
      </c>
      <c r="B10" s="99" t="str">
        <f>"Altération du processus " &amp;INPUT_ContexteBIA!B7</f>
        <v xml:space="preserve">Altération du processus </v>
      </c>
      <c r="C10" s="96" t="s">
        <v>32</v>
      </c>
      <c r="D10" s="98" t="str">
        <f>REF_ER!D41</f>
        <v/>
      </c>
      <c r="E10" s="99" t="s">
        <v>45</v>
      </c>
    </row>
    <row r="11" spans="1:5" x14ac:dyDescent="0.2">
      <c r="A11" s="98" t="str">
        <f>INPUT_ContexteBIA!B30</f>
        <v>Grave</v>
      </c>
      <c r="B11" s="99" t="str">
        <f>"Altération des données " &amp;INPUT_ContexteBIA!B9</f>
        <v>Altération des données Données marché</v>
      </c>
      <c r="C11" s="96" t="s">
        <v>40</v>
      </c>
      <c r="D11" s="98">
        <f>REF_ER!D43</f>
        <v>4</v>
      </c>
      <c r="E11" s="99" t="s">
        <v>45</v>
      </c>
    </row>
    <row r="12" spans="1:5" x14ac:dyDescent="0.2">
      <c r="A12" s="98" t="str">
        <f>INPUT_ContexteBIA!B31</f>
        <v>Grave</v>
      </c>
      <c r="B12" s="99" t="str">
        <f>"Altération des données " &amp;INPUT_ContexteBIA!B10</f>
        <v>Altération des données Données R&amp;D</v>
      </c>
      <c r="C12" s="96" t="s">
        <v>40</v>
      </c>
      <c r="D12" s="98">
        <f>REF_ER!D44</f>
        <v>4</v>
      </c>
      <c r="E12" s="99" t="s">
        <v>45</v>
      </c>
    </row>
    <row r="13" spans="1:5" x14ac:dyDescent="0.2">
      <c r="A13" s="98" t="str">
        <f>INPUT_ContexteBIA!B32</f>
        <v>Modéré</v>
      </c>
      <c r="B13" s="99" t="str">
        <f>"Altération des données " &amp;INPUT_ContexteBIA!B11</f>
        <v>Altération des données Spécifications techniques</v>
      </c>
      <c r="C13" s="96" t="s">
        <v>40</v>
      </c>
      <c r="D13" s="98">
        <f>REF_ER!D45</f>
        <v>2</v>
      </c>
      <c r="E13" s="99" t="s">
        <v>45</v>
      </c>
    </row>
    <row r="14" spans="1:5" x14ac:dyDescent="0.2">
      <c r="A14" s="98">
        <f>INPUT_ContexteBIA!B33</f>
        <v>0</v>
      </c>
      <c r="B14" s="99" t="str">
        <f>"Altération des données " &amp;INPUT_ContexteBIA!B12</f>
        <v xml:space="preserve">Altération des données </v>
      </c>
      <c r="C14" s="96" t="s">
        <v>40</v>
      </c>
      <c r="D14" s="98" t="str">
        <f>REF_ER!C46</f>
        <v/>
      </c>
      <c r="E14" s="99" t="s">
        <v>45</v>
      </c>
    </row>
    <row r="15" spans="1:5" ht="25.5" x14ac:dyDescent="0.2">
      <c r="A15" s="97" t="s">
        <v>50</v>
      </c>
      <c r="B15" s="97" t="s">
        <v>48</v>
      </c>
      <c r="C15" s="97" t="s">
        <v>49</v>
      </c>
      <c r="D15" s="97" t="s">
        <v>347</v>
      </c>
      <c r="E15" s="97" t="s">
        <v>51</v>
      </c>
    </row>
    <row r="16" spans="1:5" x14ac:dyDescent="0.2">
      <c r="A16" s="98" t="str">
        <f>INPUT_ContexteBIA!C30</f>
        <v>Modéré</v>
      </c>
      <c r="B16" s="99" t="str">
        <f>"Fuite de données "&amp;INPUT_ContexteBIA!B9</f>
        <v>Fuite de données Données marché</v>
      </c>
      <c r="C16" s="96" t="s">
        <v>40</v>
      </c>
      <c r="D16" s="98">
        <f>REF_ER!E43</f>
        <v>2</v>
      </c>
      <c r="E16" s="99" t="s">
        <v>46</v>
      </c>
    </row>
    <row r="17" spans="1:5" x14ac:dyDescent="0.2">
      <c r="A17" s="98" t="str">
        <f>INPUT_ContexteBIA!C31</f>
        <v>Grave</v>
      </c>
      <c r="B17" s="99" t="str">
        <f>"Fuite de données "&amp;INPUT_ContexteBIA!B10</f>
        <v>Fuite de données Données R&amp;D</v>
      </c>
      <c r="C17" s="96" t="s">
        <v>40</v>
      </c>
      <c r="D17" s="98">
        <f>REF_ER!E44</f>
        <v>4</v>
      </c>
      <c r="E17" s="99" t="s">
        <v>46</v>
      </c>
    </row>
    <row r="18" spans="1:5" x14ac:dyDescent="0.2">
      <c r="A18" s="98" t="str">
        <f>INPUT_ContexteBIA!C32</f>
        <v>Modéré</v>
      </c>
      <c r="B18" s="99" t="str">
        <f>"Fuite de données "&amp;INPUT_ContexteBIA!B11</f>
        <v>Fuite de données Spécifications techniques</v>
      </c>
      <c r="C18" s="96" t="s">
        <v>40</v>
      </c>
      <c r="D18" s="98">
        <f>REF_ER!E45</f>
        <v>2</v>
      </c>
      <c r="E18" s="99" t="s">
        <v>46</v>
      </c>
    </row>
    <row r="19" spans="1:5" x14ac:dyDescent="0.2">
      <c r="A19" s="98">
        <f>INPUT_ContexteBIA!C33</f>
        <v>0</v>
      </c>
      <c r="B19" s="99" t="str">
        <f>"Fuite de données "&amp;INPUT_ContexteBIA!B12</f>
        <v xml:space="preserve">Fuite de données </v>
      </c>
      <c r="C19" s="96" t="s">
        <v>40</v>
      </c>
      <c r="D19" s="98" t="str">
        <f>REF_ER!D46</f>
        <v/>
      </c>
      <c r="E19" s="99" t="s">
        <v>46</v>
      </c>
    </row>
    <row r="20" spans="1:5" ht="25.5" x14ac:dyDescent="0.2">
      <c r="A20" s="97" t="s">
        <v>50</v>
      </c>
      <c r="B20" s="97" t="s">
        <v>48</v>
      </c>
      <c r="C20" s="97" t="s">
        <v>49</v>
      </c>
      <c r="D20" s="97" t="s">
        <v>347</v>
      </c>
      <c r="E20" s="97" t="s">
        <v>51</v>
      </c>
    </row>
    <row r="21" spans="1:5" x14ac:dyDescent="0.2">
      <c r="A21" s="98" t="str">
        <f>INPUT_ContexteBIA!D30</f>
        <v>Modéré</v>
      </c>
      <c r="B21" s="99" t="str">
        <f>"Incapacité à tracer les données "&amp;INPUT_ContexteBIA!B9</f>
        <v>Incapacité à tracer les données Données marché</v>
      </c>
      <c r="C21" s="96" t="s">
        <v>40</v>
      </c>
      <c r="D21" s="98">
        <f>REF_ER!F43</f>
        <v>2</v>
      </c>
      <c r="E21" s="99" t="s">
        <v>47</v>
      </c>
    </row>
    <row r="22" spans="1:5" x14ac:dyDescent="0.2">
      <c r="A22" s="98" t="str">
        <f>INPUT_ContexteBIA!D31</f>
        <v>Modéré</v>
      </c>
      <c r="B22" s="99" t="str">
        <f>"Incapacité à tracer les données "&amp;INPUT_ContexteBIA!B10</f>
        <v>Incapacité à tracer les données Données R&amp;D</v>
      </c>
      <c r="C22" s="96" t="s">
        <v>40</v>
      </c>
      <c r="D22" s="98">
        <f>REF_ER!F44</f>
        <v>2</v>
      </c>
      <c r="E22" s="99" t="s">
        <v>47</v>
      </c>
    </row>
    <row r="23" spans="1:5" x14ac:dyDescent="0.2">
      <c r="A23" s="98" t="str">
        <f>INPUT_ContexteBIA!D32</f>
        <v>Modéré</v>
      </c>
      <c r="B23" s="99" t="str">
        <f>"Incapacité à tracer les données "&amp;INPUT_ContexteBIA!B11</f>
        <v>Incapacité à tracer les données Spécifications techniques</v>
      </c>
      <c r="C23" s="96" t="s">
        <v>40</v>
      </c>
      <c r="D23" s="98">
        <f>REF_ER!F45</f>
        <v>2</v>
      </c>
      <c r="E23" s="99" t="s">
        <v>47</v>
      </c>
    </row>
    <row r="24" spans="1:5" x14ac:dyDescent="0.2">
      <c r="A24" s="98">
        <f>INPUT_ContexteBIA!D33</f>
        <v>0</v>
      </c>
      <c r="B24" s="99" t="str">
        <f>"Incapacité à tracer les données "&amp;INPUT_ContexteBIA!B12</f>
        <v xml:space="preserve">Incapacité à tracer les données </v>
      </c>
      <c r="C24" s="96" t="s">
        <v>40</v>
      </c>
      <c r="D24" s="98" t="str">
        <f>REF_ER!E46</f>
        <v/>
      </c>
      <c r="E24" s="99" t="s">
        <v>47</v>
      </c>
    </row>
    <row r="25" spans="1:5" x14ac:dyDescent="0.2">
      <c r="A25" s="98" t="str">
        <f>INPUT_ContexteBIA!D25</f>
        <v>Modéré</v>
      </c>
      <c r="B25" s="99" t="str">
        <f>"Incapacité à tracer le processus "&amp;INPUT_ContexteBIA!B4</f>
        <v>Incapacité à tracer le processus Analyser le marché</v>
      </c>
      <c r="C25" s="96" t="s">
        <v>32</v>
      </c>
      <c r="D25" s="98">
        <f>REF_ER!F38</f>
        <v>2</v>
      </c>
      <c r="E25" s="99" t="s">
        <v>47</v>
      </c>
    </row>
    <row r="26" spans="1:5" x14ac:dyDescent="0.2">
      <c r="A26" s="98" t="str">
        <f>INPUT_ContexteBIA!D26</f>
        <v>Modéré</v>
      </c>
      <c r="B26" s="99" t="str">
        <f>"Incapacité à tracer le processus "&amp;INPUT_ContexteBIA!B5</f>
        <v>Incapacité à tracer le processus Concevoir des voitures</v>
      </c>
      <c r="C26" s="96" t="s">
        <v>32</v>
      </c>
      <c r="D26" s="98">
        <f>REF_ER!F39</f>
        <v>2</v>
      </c>
      <c r="E26" s="99" t="s">
        <v>47</v>
      </c>
    </row>
    <row r="27" spans="1:5" x14ac:dyDescent="0.2">
      <c r="A27" s="98" t="str">
        <f>INPUT_ContexteBIA!D27</f>
        <v>Modéré</v>
      </c>
      <c r="B27" s="99" t="str">
        <f>"Incapacité à tracer le processus "&amp;INPUT_ContexteBIA!B6</f>
        <v>Incapacité à tracer le processus Contruire des voitures</v>
      </c>
      <c r="C27" s="96" t="s">
        <v>32</v>
      </c>
      <c r="D27" s="98">
        <f>REF_ER!F40</f>
        <v>2</v>
      </c>
      <c r="E27" s="99" t="s">
        <v>47</v>
      </c>
    </row>
    <row r="28" spans="1:5" x14ac:dyDescent="0.2">
      <c r="A28" s="98">
        <f>INPUT_ContexteBIA!D28</f>
        <v>0</v>
      </c>
      <c r="B28" s="99" t="str">
        <f>"Incapacité à tracer le processus "&amp;INPUT_ContexteBIA!B7</f>
        <v xml:space="preserve">Incapacité à tracer le processus </v>
      </c>
      <c r="C28" s="96" t="s">
        <v>32</v>
      </c>
      <c r="D28" s="98" t="str">
        <f>REF_ER!F41</f>
        <v/>
      </c>
      <c r="E28" s="99" t="s">
        <v>47</v>
      </c>
    </row>
    <row r="30" spans="1:5" x14ac:dyDescent="0.2">
      <c r="A30" s="97"/>
      <c r="B30" s="97" t="s">
        <v>425</v>
      </c>
      <c r="C30" s="97"/>
      <c r="D30" s="97"/>
      <c r="E30" s="97"/>
    </row>
    <row r="31" spans="1:5" x14ac:dyDescent="0.2">
      <c r="A31" s="99" t="s">
        <v>44</v>
      </c>
      <c r="B31" s="65" t="str">
        <f>IFERROR(VLOOKUP("Grave",$A$2:$E$5,2,FALSE),IFERROR(VLOOKUP("Important",$A$2:$E$5,2,FALSE),IFERROR(VLOOKUP("Modéré",$A$2:$E$5,2,FALSE),VLOOKUP("Négligeable",$A$2:$E$5,2,FALSE))))</f>
        <v>Incapacité à réaliser le processus Concevoir des voitures</v>
      </c>
      <c r="C31" s="65">
        <f>VLOOKUP(B31,B2:E5,3,FALSE)</f>
        <v>3</v>
      </c>
    </row>
    <row r="32" spans="1:5" x14ac:dyDescent="0.2">
      <c r="A32" s="99" t="s">
        <v>45</v>
      </c>
      <c r="B32" s="65" t="str">
        <f>IFERROR(VLOOKUP("Grave",$A$7:$E$14,2,FALSE),IFERROR(VLOOKUP("Important",$A$7:$E$14,2,FALSE),IFERROR(VLOOKUP("Modéré",$A$7:$E$14,2,FALSE),VLOOKUP("Négligeable",$A$7:$E$14,2,FALSE))))</f>
        <v>Altération du processus Contruire des voitures</v>
      </c>
      <c r="C32" s="65">
        <f>VLOOKUP(B32,B7:E14,3,FALSE)</f>
        <v>4</v>
      </c>
    </row>
    <row r="33" spans="1:6" x14ac:dyDescent="0.2">
      <c r="A33" s="99" t="s">
        <v>46</v>
      </c>
      <c r="B33" s="65" t="str">
        <f>IFERROR(VLOOKUP("Grave",$A$16:$E$19,2,FALSE),IFERROR(VLOOKUP("Important",$A$16:$E$19,2,FALSE),IFERROR(VLOOKUP("Modéré",$A$16:$E$19,2,FALSE),VLOOKUP("Négligeable",$A$16:$E$19,2,FALSE))))</f>
        <v>Fuite de données Données R&amp;D</v>
      </c>
      <c r="C33" s="65">
        <f>VLOOKUP(B33,B16:E19,3,FALSE)</f>
        <v>4</v>
      </c>
    </row>
    <row r="34" spans="1:6" x14ac:dyDescent="0.2">
      <c r="A34" s="99" t="s">
        <v>47</v>
      </c>
      <c r="B34" s="65" t="str">
        <f>IFERROR(VLOOKUP("Grave",$A$21:$E$28,2,FALSE),IFERROR(VLOOKUP("Important",$A$21:$E$28,2,FALSE),IFERROR(VLOOKUP("Modéré",$A$21:$E$28,2,FALSE),VLOOKUP("Négligeable",$A$21:$E$28,2,FALSE))))</f>
        <v>Incapacité à tracer les données Données marché</v>
      </c>
      <c r="C34" s="65">
        <f>VLOOKUP(B34,B21:E28,3,FALSE)</f>
        <v>2</v>
      </c>
    </row>
    <row r="37" spans="1:6" ht="15" x14ac:dyDescent="0.25">
      <c r="B37" s="3"/>
      <c r="C37" s="3" t="s">
        <v>185</v>
      </c>
      <c r="D37" s="3" t="s">
        <v>186</v>
      </c>
      <c r="E37" s="6" t="s">
        <v>187</v>
      </c>
      <c r="F37" s="3" t="s">
        <v>188</v>
      </c>
    </row>
    <row r="38" spans="1:6" ht="15" x14ac:dyDescent="0.25">
      <c r="B38"/>
      <c r="C38" s="6">
        <f>IFERROR(VLOOKUP(INPUT_ContexteBIA!B25,DATA_Listes!$A$87:$B$90,2,FALSE),"")</f>
        <v>2</v>
      </c>
      <c r="D38" s="6">
        <f>IFERROR(VLOOKUP(INPUT_ContexteBIA!C25,DATA_Listes!$A$87:$B$90,2,FALSE),"")</f>
        <v>3</v>
      </c>
      <c r="E38"/>
      <c r="F38" s="6">
        <f>IFERROR(VLOOKUP(INPUT_ContexteBIA!D25,DATA_Listes!$A$87:$B$90,2,FALSE),"")</f>
        <v>2</v>
      </c>
    </row>
    <row r="39" spans="1:6" ht="15" x14ac:dyDescent="0.25">
      <c r="B39"/>
      <c r="C39" s="6">
        <f>IFERROR(VLOOKUP(INPUT_ContexteBIA!B26,DATA_Listes!$A$87:$B$90,2,FALSE),"")</f>
        <v>3</v>
      </c>
      <c r="D39" s="6">
        <f>IFERROR(VLOOKUP(INPUT_ContexteBIA!C26,DATA_Listes!$A$87:$B$90,2,FALSE),"")</f>
        <v>3</v>
      </c>
      <c r="E39"/>
      <c r="F39" s="6">
        <f>IFERROR(VLOOKUP(INPUT_ContexteBIA!D26,DATA_Listes!$A$87:$B$90,2,FALSE),"")</f>
        <v>2</v>
      </c>
    </row>
    <row r="40" spans="1:6" ht="15" x14ac:dyDescent="0.25">
      <c r="B40"/>
      <c r="C40" s="6">
        <f>IFERROR(VLOOKUP(INPUT_ContexteBIA!B27,DATA_Listes!$A$87:$B$90,2,FALSE),"")</f>
        <v>1</v>
      </c>
      <c r="D40" s="6">
        <f>IFERROR(VLOOKUP(INPUT_ContexteBIA!C27,DATA_Listes!$A$87:$B$90,2,FALSE),"")</f>
        <v>4</v>
      </c>
      <c r="E40"/>
      <c r="F40" s="6">
        <f>IFERROR(VLOOKUP(INPUT_ContexteBIA!D27,DATA_Listes!$A$87:$B$90,2,FALSE),"")</f>
        <v>2</v>
      </c>
    </row>
    <row r="41" spans="1:6" ht="15" x14ac:dyDescent="0.25">
      <c r="B41"/>
      <c r="C41" s="6" t="str">
        <f>IFERROR(VLOOKUP(INPUT_ContexteBIA!B28,DATA_Listes!$A$87:$B$90,2,FALSE),"")</f>
        <v/>
      </c>
      <c r="D41" s="6" t="str">
        <f>IFERROR(VLOOKUP(INPUT_ContexteBIA!C28,DATA_Listes!$A$87:$B$90,2,FALSE),"")</f>
        <v/>
      </c>
      <c r="E41"/>
      <c r="F41" s="6" t="str">
        <f>IFERROR(VLOOKUP(INPUT_ContexteBIA!D28,DATA_Listes!$A$87:$B$90,2,FALSE),"")</f>
        <v/>
      </c>
    </row>
    <row r="42" spans="1:6" ht="15" x14ac:dyDescent="0.25">
      <c r="B42"/>
      <c r="C42" s="6" t="s">
        <v>185</v>
      </c>
      <c r="D42" s="3" t="s">
        <v>186</v>
      </c>
      <c r="E42" s="3" t="s">
        <v>187</v>
      </c>
      <c r="F42" s="3" t="s">
        <v>188</v>
      </c>
    </row>
    <row r="43" spans="1:6" ht="15" x14ac:dyDescent="0.25">
      <c r="B43"/>
      <c r="C43"/>
      <c r="D43" s="6">
        <f>IFERROR(VLOOKUP(INPUT_ContexteBIA!B30,DATA_Listes!$A$87:$B$90,2,FALSE),"")</f>
        <v>4</v>
      </c>
      <c r="E43" s="6">
        <f>IFERROR(VLOOKUP(INPUT_ContexteBIA!C30,DATA_Listes!$A$87:$B$90,2,FALSE),"")</f>
        <v>2</v>
      </c>
      <c r="F43" s="6">
        <f>IFERROR(VLOOKUP(INPUT_ContexteBIA!D30,DATA_Listes!$A$87:$B$90,2,FALSE),"")</f>
        <v>2</v>
      </c>
    </row>
    <row r="44" spans="1:6" ht="15" x14ac:dyDescent="0.25">
      <c r="B44"/>
      <c r="C44"/>
      <c r="D44" s="6">
        <f>IFERROR(VLOOKUP(INPUT_ContexteBIA!B31,DATA_Listes!$A$87:$B$90,2,FALSE),"")</f>
        <v>4</v>
      </c>
      <c r="E44" s="6">
        <f>IFERROR(VLOOKUP(INPUT_ContexteBIA!C31,DATA_Listes!$A$87:$B$90,2,FALSE),"")</f>
        <v>4</v>
      </c>
      <c r="F44" s="6">
        <f>IFERROR(VLOOKUP(INPUT_ContexteBIA!D31,DATA_Listes!$A$87:$B$90,2,FALSE),"")</f>
        <v>2</v>
      </c>
    </row>
    <row r="45" spans="1:6" ht="15" x14ac:dyDescent="0.25">
      <c r="B45"/>
      <c r="C45"/>
      <c r="D45" s="6">
        <f>IFERROR(VLOOKUP(INPUT_ContexteBIA!B32,DATA_Listes!$A$87:$B$90,2,FALSE),"")</f>
        <v>2</v>
      </c>
      <c r="E45" s="6">
        <f>IFERROR(VLOOKUP(INPUT_ContexteBIA!C32,DATA_Listes!$A$87:$B$90,2,FALSE),"")</f>
        <v>2</v>
      </c>
      <c r="F45" s="6">
        <f>IFERROR(VLOOKUP(INPUT_ContexteBIA!D32,DATA_Listes!$A$87:$B$90,2,FALSE),"")</f>
        <v>2</v>
      </c>
    </row>
    <row r="46" spans="1:6" ht="15" x14ac:dyDescent="0.25">
      <c r="B46"/>
      <c r="C46" s="6" t="str">
        <f>IFERROR(VLOOKUP(INPUT_ContexteBIA!B33,DATA_Listes!$A$87:$B$90,2,FALSE),"")</f>
        <v/>
      </c>
      <c r="D46" s="6" t="str">
        <f>IFERROR(VLOOKUP(INPUT_ContexteBIA!C33,DATA_Listes!$A$87:$B$90,2,FALSE),"")</f>
        <v/>
      </c>
      <c r="E46" s="6" t="str">
        <f>IFERROR(VLOOKUP(INPUT_ContexteBIA!D33,DATA_Listes!$A$87:$B$90,2,FALSE),"")</f>
        <v/>
      </c>
      <c r="F46" s="3"/>
    </row>
    <row r="47" spans="1:6" ht="15" x14ac:dyDescent="0.25">
      <c r="B47" s="3"/>
      <c r="C47" s="3"/>
      <c r="D47" s="3"/>
      <c r="E47" s="3"/>
      <c r="F47" s="3"/>
    </row>
    <row r="48" spans="1:6" ht="15" x14ac:dyDescent="0.25">
      <c r="B48" s="97" t="s">
        <v>420</v>
      </c>
      <c r="C48" s="3">
        <f>MAX(C38:C41)</f>
        <v>3</v>
      </c>
      <c r="D48" s="3">
        <f>MAX(D38:D41,D43:D46)</f>
        <v>4</v>
      </c>
      <c r="E48">
        <f>MAX(E43:E46)</f>
        <v>4</v>
      </c>
      <c r="F48" s="3">
        <f>MAX(F38:F41,E46:E46)</f>
        <v>2</v>
      </c>
    </row>
    <row r="49" spans="2:7" ht="15" x14ac:dyDescent="0.25">
      <c r="B49" s="97" t="s">
        <v>421</v>
      </c>
      <c r="C49" s="3">
        <f>VLOOKUP(INPUT_ContexteBIA!$B$14,DATA_Listes!$A$33:$E$35,2,FALSE)</f>
        <v>2</v>
      </c>
      <c r="D49" s="6">
        <f>VLOOKUP(INPUT_ContexteBIA!$B$14,DATA_Listes!$A$33:$E$35,3,FALSE)</f>
        <v>3</v>
      </c>
      <c r="E49" s="6">
        <f>VLOOKUP(INPUT_ContexteBIA!$B$14,DATA_Listes!$A$33:$E$35,4,FALSE)</f>
        <v>3</v>
      </c>
      <c r="F49" s="6">
        <f>VLOOKUP(INPUT_ContexteBIA!$B$14,DATA_Listes!$A$33:$E$35,5,FALSE)</f>
        <v>3</v>
      </c>
      <c r="G49" s="65">
        <f>MAX(C49:F49)</f>
        <v>3</v>
      </c>
    </row>
    <row r="50" spans="2:7" ht="15.75" thickBot="1" x14ac:dyDescent="0.3">
      <c r="B50" s="97" t="s">
        <v>422</v>
      </c>
      <c r="C50" s="6">
        <f>IF(INPUT_ContexteBIA!$B$15="OUI",DATA_Listes!B36,0)</f>
        <v>0</v>
      </c>
      <c r="D50" s="6">
        <f>IF(INPUT_ContexteBIA!$B$15="OUI",DATA_Listes!C36,0)</f>
        <v>0</v>
      </c>
      <c r="E50" s="6">
        <f>IF(INPUT_ContexteBIA!$B$15="OUI",DATA_Listes!D36,0)</f>
        <v>0</v>
      </c>
      <c r="F50" s="6">
        <f>IF(INPUT_ContexteBIA!$B$15="OUI",DATA_Listes!E36,0)</f>
        <v>0</v>
      </c>
      <c r="G50" s="65">
        <f>MAX(C50:F50)</f>
        <v>0</v>
      </c>
    </row>
    <row r="51" spans="2:7" ht="15.75" thickBot="1" x14ac:dyDescent="0.3">
      <c r="B51" s="100" t="s">
        <v>424</v>
      </c>
      <c r="C51" s="101">
        <f>MAX(C48:C50)</f>
        <v>3</v>
      </c>
      <c r="D51" s="101">
        <f>MAX(D48:D50)</f>
        <v>4</v>
      </c>
      <c r="E51" s="101">
        <f>MAX(E48:E50)</f>
        <v>4</v>
      </c>
      <c r="F51" s="102">
        <f>MAX(F48:F50)</f>
        <v>3</v>
      </c>
    </row>
  </sheetData>
  <pageMargins left="0.7" right="0.7" top="0.75" bottom="0.75" header="0.3" footer="0.3"/>
  <ignoredErrors>
    <ignoredError sqref="D10 D7" calculatedColumn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0118-3B8C-445A-9564-C0BF495D02F0}">
  <dimension ref="A1:V28"/>
  <sheetViews>
    <sheetView topLeftCell="D1" workbookViewId="0">
      <selection activeCell="N2" sqref="N2"/>
    </sheetView>
  </sheetViews>
  <sheetFormatPr baseColWidth="10" defaultColWidth="11.42578125" defaultRowHeight="12.75" x14ac:dyDescent="0.2"/>
  <cols>
    <col min="1" max="1" width="11.42578125" style="65"/>
    <col min="2" max="2" width="10" style="65" customWidth="1"/>
    <col min="3" max="3" width="102.5703125" style="65" customWidth="1"/>
    <col min="4" max="7" width="6" style="69" customWidth="1"/>
    <col min="8" max="8" width="19.28515625" style="69" customWidth="1"/>
    <col min="9" max="9" width="19.28515625" style="65" customWidth="1"/>
    <col min="10" max="10" width="11.140625" style="69" customWidth="1"/>
    <col min="11" max="19" width="19.28515625" style="65" customWidth="1"/>
    <col min="20" max="20" width="37.140625" bestFit="1" customWidth="1"/>
    <col min="21" max="21" width="12.140625" style="65" bestFit="1" customWidth="1"/>
    <col min="22" max="22" width="35.5703125" style="65" bestFit="1" customWidth="1"/>
    <col min="23" max="23" width="34.7109375" style="65" bestFit="1" customWidth="1"/>
    <col min="24" max="16384" width="11.42578125" style="65"/>
  </cols>
  <sheetData>
    <row r="1" spans="1:22" s="67" customFormat="1" x14ac:dyDescent="0.2">
      <c r="A1" s="67" t="s">
        <v>383</v>
      </c>
      <c r="B1" s="68" t="s">
        <v>352</v>
      </c>
      <c r="C1" s="68" t="s">
        <v>180</v>
      </c>
      <c r="D1" s="109" t="s">
        <v>185</v>
      </c>
      <c r="E1" s="109" t="s">
        <v>186</v>
      </c>
      <c r="F1" s="109" t="s">
        <v>187</v>
      </c>
      <c r="G1" s="109" t="s">
        <v>188</v>
      </c>
      <c r="H1" s="110" t="s">
        <v>184</v>
      </c>
      <c r="I1" s="86" t="s">
        <v>378</v>
      </c>
      <c r="J1" s="86" t="s">
        <v>50</v>
      </c>
      <c r="K1" s="86" t="s">
        <v>376</v>
      </c>
      <c r="L1" s="86" t="s">
        <v>382</v>
      </c>
      <c r="M1" s="86" t="s">
        <v>417</v>
      </c>
      <c r="N1" s="86" t="s">
        <v>412</v>
      </c>
      <c r="O1" s="86" t="s">
        <v>413</v>
      </c>
      <c r="P1" s="86" t="s">
        <v>450</v>
      </c>
      <c r="Q1" s="86" t="s">
        <v>377</v>
      </c>
      <c r="R1" s="86" t="s">
        <v>411</v>
      </c>
      <c r="S1" s="86" t="s">
        <v>418</v>
      </c>
      <c r="T1" s="68" t="s">
        <v>181</v>
      </c>
      <c r="U1" s="68" t="s">
        <v>182</v>
      </c>
      <c r="V1" s="68" t="s">
        <v>183</v>
      </c>
    </row>
    <row r="2" spans="1:22" x14ac:dyDescent="0.2">
      <c r="A2" s="65" t="s">
        <v>384</v>
      </c>
      <c r="B2" s="69" t="s">
        <v>52</v>
      </c>
      <c r="C2" s="69" t="s">
        <v>189</v>
      </c>
      <c r="D2" s="111">
        <f>REF_ER!C$51</f>
        <v>3</v>
      </c>
      <c r="E2" s="111">
        <f>REF_ER!D$51</f>
        <v>4</v>
      </c>
      <c r="F2" s="111">
        <f>REF_ER!E$51</f>
        <v>4</v>
      </c>
      <c r="G2" s="111">
        <f>REF_ER!F$51</f>
        <v>3</v>
      </c>
      <c r="H2" s="70">
        <f t="shared" ref="H2:H28" si="0">COUNTA(D2:G2)</f>
        <v>4</v>
      </c>
      <c r="I2" s="87" t="s">
        <v>379</v>
      </c>
      <c r="J2" s="70">
        <f>MAX(Tableau_REF_Risques[[#This Row],[D]:[P]])</f>
        <v>4</v>
      </c>
      <c r="K2" s="70">
        <f>_xlfn.MAXIFS(Tableau_REF_SMSR[Vrais Retenue],Tableau_REF_SMSR['#SM],Tableau_REF_Risques[[#This Row],['#SM]])</f>
        <v>4</v>
      </c>
      <c r="L2" s="70">
        <f>Tableau_REF_Risques[[#This Row],[Gravité]]*Tableau_REF_Risques[[#This Row],[Vraisemblance I]]</f>
        <v>16</v>
      </c>
      <c r="M2" s="70" t="str">
        <f>VLOOKUP(Tableau_REF_Risques[[#This Row],[NRI]],DATA_Listes!$A$93:$B$101,2,FALSE)</f>
        <v>Critique</v>
      </c>
      <c r="N2" s="89">
        <f>SUMIF(Tableau_REF_SMMS['#SM],Tableau_REF_Risques[[#This Row],['#SM]],Tableau_REF_SMMS[Cout couverture])</f>
        <v>18084.150456607862</v>
      </c>
      <c r="O2" s="90">
        <f>ROUND(SUMIF(Tableau_REF_SMMS['#SM],Tableau_REF_Risques[[#This Row],['#SM]],Tableau_REF_SMMS[Couverture effective]),2)</f>
        <v>1.05</v>
      </c>
      <c r="P2" s="90" t="str">
        <f t="shared" ref="P2:P28" si="1">IF(O2=1,"100%",IF(O2&gt;1,"&gt;100%","&lt;100%"))</f>
        <v>&gt;100%</v>
      </c>
      <c r="Q2" s="92">
        <f>ROUND(Tableau_REF_Risques[[#This Row],[Vraisemblance I]]*(1-Tableau_REF_Risques[[#This Row],[Tx couv]])+1,0)</f>
        <v>1</v>
      </c>
      <c r="R2" s="92">
        <f>IF(Tableau_REF_Risques[[#This Row],[Vraisemblance R]]*Tableau_REF_Risques[[#This Row],[Gravité]]&lt;=0,1,Tableau_REF_Risques[[#This Row],[Vraisemblance R]]*Tableau_REF_Risques[[#This Row],[Gravité]])</f>
        <v>4</v>
      </c>
      <c r="S2" s="70" t="str">
        <f>VLOOKUP(Tableau_REF_Risques[[#This Row],[NRR]],DATA_Listes!$A$93:$B$101,2,FALSE)</f>
        <v>Modéré</v>
      </c>
      <c r="T2" s="69" t="s">
        <v>190</v>
      </c>
      <c r="U2" s="69" t="s">
        <v>191</v>
      </c>
      <c r="V2" s="71" t="str">
        <f t="shared" ref="V2:V9" si="2">"https://attack.mitre.org/techniques/"&amp;U2</f>
        <v>https://attack.mitre.org/techniques/T1189</v>
      </c>
    </row>
    <row r="3" spans="1:22" x14ac:dyDescent="0.2">
      <c r="A3" s="65" t="s">
        <v>385</v>
      </c>
      <c r="B3" s="69" t="s">
        <v>53</v>
      </c>
      <c r="C3" s="69" t="s">
        <v>192</v>
      </c>
      <c r="D3" s="111">
        <f>REF_ER!C$51</f>
        <v>3</v>
      </c>
      <c r="E3" s="111">
        <f>REF_ER!D$51</f>
        <v>4</v>
      </c>
      <c r="F3" s="111">
        <f>REF_ER!E$51</f>
        <v>4</v>
      </c>
      <c r="G3" s="111">
        <f>REF_ER!F$51</f>
        <v>3</v>
      </c>
      <c r="H3" s="70">
        <f t="shared" si="0"/>
        <v>4</v>
      </c>
      <c r="I3" s="87" t="s">
        <v>379</v>
      </c>
      <c r="J3" s="70">
        <f>MAX(Tableau_REF_Risques[[#This Row],[D]:[P]])</f>
        <v>4</v>
      </c>
      <c r="K3" s="70">
        <f>_xlfn.MAXIFS(Tableau_REF_SMSR[Vrais Retenue],Tableau_REF_SMSR['#SM],Tableau_REF_Risques[[#This Row],['#SM]])</f>
        <v>4</v>
      </c>
      <c r="L3" s="70">
        <f>Tableau_REF_Risques[[#This Row],[Gravité]]*Tableau_REF_Risques[[#This Row],[Vraisemblance I]]</f>
        <v>16</v>
      </c>
      <c r="M3" s="70" t="str">
        <f>VLOOKUP(Tableau_REF_Risques[[#This Row],[NRI]],DATA_Listes!$A$93:$B$101,2,FALSE)</f>
        <v>Critique</v>
      </c>
      <c r="N3" s="89">
        <f>SUMIF(Tableau_REF_SMMS['#SM],Tableau_REF_Risques[[#This Row],['#SM]],Tableau_REF_SMMS[Cout couverture])</f>
        <v>33495.460042856001</v>
      </c>
      <c r="O3" s="90">
        <f>ROUND(SUMIF(Tableau_REF_SMMS['#SM],Tableau_REF_Risques[[#This Row],['#SM]],Tableau_REF_SMMS[Couverture effective]),2)</f>
        <v>1.1100000000000001</v>
      </c>
      <c r="P3" s="90" t="str">
        <f t="shared" si="1"/>
        <v>&gt;100%</v>
      </c>
      <c r="Q3" s="92">
        <f>ROUND(Tableau_REF_Risques[[#This Row],[Vraisemblance I]]*(1-Tableau_REF_Risques[[#This Row],[Tx couv]])+1,0)</f>
        <v>1</v>
      </c>
      <c r="R3" s="92">
        <f>IF(Tableau_REF_Risques[[#This Row],[Vraisemblance R]]*Tableau_REF_Risques[[#This Row],[Gravité]]&lt;=0,1,Tableau_REF_Risques[[#This Row],[Vraisemblance R]]*Tableau_REF_Risques[[#This Row],[Gravité]])</f>
        <v>4</v>
      </c>
      <c r="S3" s="92" t="str">
        <f>VLOOKUP(Tableau_REF_Risques[[#This Row],[NRR]],DATA_Listes!$A$93:$B$101,2,FALSE)</f>
        <v>Modéré</v>
      </c>
      <c r="T3" s="69" t="s">
        <v>190</v>
      </c>
      <c r="U3" s="69" t="s">
        <v>193</v>
      </c>
      <c r="V3" s="71" t="str">
        <f t="shared" si="2"/>
        <v>https://attack.mitre.org/techniques/T1566</v>
      </c>
    </row>
    <row r="4" spans="1:22" x14ac:dyDescent="0.2">
      <c r="A4" s="65" t="s">
        <v>386</v>
      </c>
      <c r="B4" s="69" t="s">
        <v>54</v>
      </c>
      <c r="C4" s="69" t="s">
        <v>194</v>
      </c>
      <c r="D4" s="111">
        <f>REF_ER!C$51</f>
        <v>3</v>
      </c>
      <c r="E4" s="111">
        <f>REF_ER!D$51</f>
        <v>4</v>
      </c>
      <c r="F4" s="111">
        <f>REF_ER!E$51</f>
        <v>4</v>
      </c>
      <c r="G4" s="111">
        <f>REF_ER!F$51</f>
        <v>3</v>
      </c>
      <c r="H4" s="70">
        <f t="shared" si="0"/>
        <v>4</v>
      </c>
      <c r="I4" s="87" t="s">
        <v>379</v>
      </c>
      <c r="J4" s="70">
        <f>MAX(Tableau_REF_Risques[[#This Row],[D]:[P]])</f>
        <v>4</v>
      </c>
      <c r="K4" s="70">
        <f>_xlfn.MAXIFS(Tableau_REF_SMSR[Vrais Retenue],Tableau_REF_SMSR['#SM],Tableau_REF_Risques[[#This Row],['#SM]])</f>
        <v>3</v>
      </c>
      <c r="L4" s="70">
        <f>Tableau_REF_Risques[[#This Row],[Gravité]]*Tableau_REF_Risques[[#This Row],[Vraisemblance I]]</f>
        <v>12</v>
      </c>
      <c r="M4" s="70" t="str">
        <f>VLOOKUP(Tableau_REF_Risques[[#This Row],[NRI]],DATA_Listes!$A$93:$B$101,2,FALSE)</f>
        <v>Critique</v>
      </c>
      <c r="N4" s="89">
        <f>SUMIF(Tableau_REF_SMMS['#SM],Tableau_REF_Risques[[#This Row],['#SM]],Tableau_REF_SMMS[Cout couverture])</f>
        <v>68352.771975927666</v>
      </c>
      <c r="O4" s="90">
        <f>ROUND(SUMIF(Tableau_REF_SMMS['#SM],Tableau_REF_Risques[[#This Row],['#SM]],Tableau_REF_SMMS[Couverture effective]),2)</f>
        <v>1.1499999999999999</v>
      </c>
      <c r="P4" s="90" t="str">
        <f t="shared" si="1"/>
        <v>&gt;100%</v>
      </c>
      <c r="Q4" s="92">
        <f>ROUND(Tableau_REF_Risques[[#This Row],[Vraisemblance I]]*(1-Tableau_REF_Risques[[#This Row],[Tx couv]])+1,0)</f>
        <v>1</v>
      </c>
      <c r="R4" s="92">
        <f>IF(Tableau_REF_Risques[[#This Row],[Vraisemblance R]]*Tableau_REF_Risques[[#This Row],[Gravité]]&lt;=0,1,Tableau_REF_Risques[[#This Row],[Vraisemblance R]]*Tableau_REF_Risques[[#This Row],[Gravité]])</f>
        <v>4</v>
      </c>
      <c r="S4" s="92" t="str">
        <f>VLOOKUP(Tableau_REF_Risques[[#This Row],[NRR]],DATA_Listes!$A$93:$B$101,2,FALSE)</f>
        <v>Modéré</v>
      </c>
      <c r="T4" s="69" t="s">
        <v>190</v>
      </c>
      <c r="U4" s="69" t="s">
        <v>195</v>
      </c>
      <c r="V4" s="71" t="str">
        <f t="shared" si="2"/>
        <v>https://attack.mitre.org/techniques/T1133</v>
      </c>
    </row>
    <row r="5" spans="1:22" x14ac:dyDescent="0.2">
      <c r="A5" s="65" t="s">
        <v>387</v>
      </c>
      <c r="B5" s="69" t="s">
        <v>55</v>
      </c>
      <c r="C5" s="69" t="s">
        <v>196</v>
      </c>
      <c r="D5" s="111">
        <f>REF_ER!C$51</f>
        <v>3</v>
      </c>
      <c r="E5" s="111">
        <f>REF_ER!D$51</f>
        <v>4</v>
      </c>
      <c r="F5" s="111">
        <f>REF_ER!E$51</f>
        <v>4</v>
      </c>
      <c r="G5" s="111">
        <f>REF_ER!F$51</f>
        <v>3</v>
      </c>
      <c r="H5" s="70">
        <f t="shared" si="0"/>
        <v>4</v>
      </c>
      <c r="I5" s="87" t="s">
        <v>379</v>
      </c>
      <c r="J5" s="70">
        <f>MAX(Tableau_REF_Risques[[#This Row],[D]:[P]])</f>
        <v>4</v>
      </c>
      <c r="K5" s="70">
        <f>_xlfn.MAXIFS(Tableau_REF_SMSR[Vrais Retenue],Tableau_REF_SMSR['#SM],Tableau_REF_Risques[[#This Row],['#SM]])</f>
        <v>3</v>
      </c>
      <c r="L5" s="70">
        <f>Tableau_REF_Risques[[#This Row],[Gravité]]*Tableau_REF_Risques[[#This Row],[Vraisemblance I]]</f>
        <v>12</v>
      </c>
      <c r="M5" s="70" t="str">
        <f>VLOOKUP(Tableau_REF_Risques[[#This Row],[NRI]],DATA_Listes!$A$93:$B$101,2,FALSE)</f>
        <v>Critique</v>
      </c>
      <c r="N5" s="89">
        <f>SUMIF(Tableau_REF_SMMS['#SM],Tableau_REF_Risques[[#This Row],['#SM]],Tableau_REF_SMMS[Cout couverture])</f>
        <v>91892.89682668887</v>
      </c>
      <c r="O5" s="90">
        <f>ROUND(SUMIF(Tableau_REF_SMMS['#SM],Tableau_REF_Risques[[#This Row],['#SM]],Tableau_REF_SMMS[Couverture effective]),2)</f>
        <v>1.17</v>
      </c>
      <c r="P5" s="90" t="str">
        <f t="shared" si="1"/>
        <v>&gt;100%</v>
      </c>
      <c r="Q5" s="92">
        <f>ROUND(Tableau_REF_Risques[[#This Row],[Vraisemblance I]]*(1-Tableau_REF_Risques[[#This Row],[Tx couv]])+1,0)</f>
        <v>0</v>
      </c>
      <c r="R5" s="92">
        <f>IF(Tableau_REF_Risques[[#This Row],[Vraisemblance R]]*Tableau_REF_Risques[[#This Row],[Gravité]]&lt;=0,1,Tableau_REF_Risques[[#This Row],[Vraisemblance R]]*Tableau_REF_Risques[[#This Row],[Gravité]])</f>
        <v>1</v>
      </c>
      <c r="S5" s="92" t="str">
        <f>VLOOKUP(Tableau_REF_Risques[[#This Row],[NRR]],DATA_Listes!$A$93:$B$101,2,FALSE)</f>
        <v>Faible</v>
      </c>
      <c r="T5" s="69" t="s">
        <v>190</v>
      </c>
      <c r="U5" s="69" t="s">
        <v>197</v>
      </c>
      <c r="V5" s="71" t="str">
        <f t="shared" si="2"/>
        <v>https://attack.mitre.org/techniques/T1190</v>
      </c>
    </row>
    <row r="6" spans="1:22" x14ac:dyDescent="0.2">
      <c r="A6" s="65" t="s">
        <v>388</v>
      </c>
      <c r="B6" s="69" t="s">
        <v>56</v>
      </c>
      <c r="C6" s="69" t="s">
        <v>198</v>
      </c>
      <c r="D6" s="111">
        <f>REF_ER!C$51</f>
        <v>3</v>
      </c>
      <c r="E6" s="111">
        <f>REF_ER!D$51</f>
        <v>4</v>
      </c>
      <c r="F6" s="111">
        <f>REF_ER!E$51</f>
        <v>4</v>
      </c>
      <c r="G6" s="111">
        <f>REF_ER!F$51</f>
        <v>3</v>
      </c>
      <c r="H6" s="70">
        <f t="shared" si="0"/>
        <v>4</v>
      </c>
      <c r="I6" s="87" t="s">
        <v>379</v>
      </c>
      <c r="J6" s="70">
        <f>MAX(Tableau_REF_Risques[[#This Row],[D]:[P]])</f>
        <v>4</v>
      </c>
      <c r="K6" s="70">
        <f>_xlfn.MAXIFS(Tableau_REF_SMSR[Vrais Retenue],Tableau_REF_SMSR['#SM],Tableau_REF_Risques[[#This Row],['#SM]])</f>
        <v>3</v>
      </c>
      <c r="L6" s="70">
        <f>Tableau_REF_Risques[[#This Row],[Gravité]]*Tableau_REF_Risques[[#This Row],[Vraisemblance I]]</f>
        <v>12</v>
      </c>
      <c r="M6" s="70" t="str">
        <f>VLOOKUP(Tableau_REF_Risques[[#This Row],[NRI]],DATA_Listes!$A$93:$B$101,2,FALSE)</f>
        <v>Critique</v>
      </c>
      <c r="N6" s="89">
        <f>SUMIF(Tableau_REF_SMMS['#SM],Tableau_REF_Risques[[#This Row],['#SM]],Tableau_REF_SMMS[Cout couverture])</f>
        <v>27264.012860512987</v>
      </c>
      <c r="O6" s="90">
        <f>ROUND(SUMIF(Tableau_REF_SMMS['#SM],Tableau_REF_Risques[[#This Row],['#SM]],Tableau_REF_SMMS[Couverture effective]),2)</f>
        <v>1</v>
      </c>
      <c r="P6" s="90" t="str">
        <f t="shared" si="1"/>
        <v>100%</v>
      </c>
      <c r="Q6" s="92">
        <f>ROUND(Tableau_REF_Risques[[#This Row],[Vraisemblance I]]*(1-Tableau_REF_Risques[[#This Row],[Tx couv]])+1,0)</f>
        <v>1</v>
      </c>
      <c r="R6" s="92">
        <f>IF(Tableau_REF_Risques[[#This Row],[Vraisemblance R]]*Tableau_REF_Risques[[#This Row],[Gravité]]&lt;=0,1,Tableau_REF_Risques[[#This Row],[Vraisemblance R]]*Tableau_REF_Risques[[#This Row],[Gravité]])</f>
        <v>4</v>
      </c>
      <c r="S6" s="92" t="str">
        <f>VLOOKUP(Tableau_REF_Risques[[#This Row],[NRR]],DATA_Listes!$A$93:$B$101,2,FALSE)</f>
        <v>Modéré</v>
      </c>
      <c r="T6" s="69" t="s">
        <v>190</v>
      </c>
      <c r="U6" s="69" t="s">
        <v>199</v>
      </c>
      <c r="V6" s="71" t="str">
        <f t="shared" si="2"/>
        <v>https://attack.mitre.org/techniques/T1091</v>
      </c>
    </row>
    <row r="7" spans="1:22" x14ac:dyDescent="0.2">
      <c r="A7" s="65" t="s">
        <v>389</v>
      </c>
      <c r="B7" s="69" t="s">
        <v>57</v>
      </c>
      <c r="C7" s="69" t="s">
        <v>200</v>
      </c>
      <c r="D7" s="111">
        <f>REF_ER!C$51</f>
        <v>3</v>
      </c>
      <c r="E7" s="111">
        <f>REF_ER!D$51</f>
        <v>4</v>
      </c>
      <c r="F7" s="111">
        <f>REF_ER!E$51</f>
        <v>4</v>
      </c>
      <c r="G7" s="111">
        <f>REF_ER!F$51</f>
        <v>3</v>
      </c>
      <c r="H7" s="70">
        <f t="shared" si="0"/>
        <v>4</v>
      </c>
      <c r="I7" s="87" t="s">
        <v>379</v>
      </c>
      <c r="J7" s="70">
        <f>MAX(Tableau_REF_Risques[[#This Row],[D]:[P]])</f>
        <v>4</v>
      </c>
      <c r="K7" s="70">
        <f>_xlfn.MAXIFS(Tableau_REF_SMSR[Vrais Retenue],Tableau_REF_SMSR['#SM],Tableau_REF_Risques[[#This Row],['#SM]])</f>
        <v>3</v>
      </c>
      <c r="L7" s="70">
        <f>Tableau_REF_Risques[[#This Row],[Gravité]]*Tableau_REF_Risques[[#This Row],[Vraisemblance I]]</f>
        <v>12</v>
      </c>
      <c r="M7" s="70" t="str">
        <f>VLOOKUP(Tableau_REF_Risques[[#This Row],[NRI]],DATA_Listes!$A$93:$B$101,2,FALSE)</f>
        <v>Critique</v>
      </c>
      <c r="N7" s="89">
        <f>SUMIF(Tableau_REF_SMMS['#SM],Tableau_REF_Risques[[#This Row],['#SM]],Tableau_REF_SMMS[Cout couverture])</f>
        <v>23819.689951197102</v>
      </c>
      <c r="O7" s="90">
        <f>ROUND(SUMIF(Tableau_REF_SMMS['#SM],Tableau_REF_Risques[[#This Row],['#SM]],Tableau_REF_SMMS[Couverture effective]),2)</f>
        <v>1.08</v>
      </c>
      <c r="P7" s="90" t="str">
        <f t="shared" si="1"/>
        <v>&gt;100%</v>
      </c>
      <c r="Q7" s="92">
        <f>ROUND(Tableau_REF_Risques[[#This Row],[Vraisemblance I]]*(1-Tableau_REF_Risques[[#This Row],[Tx couv]])+1,0)</f>
        <v>1</v>
      </c>
      <c r="R7" s="92">
        <f>IF(Tableau_REF_Risques[[#This Row],[Vraisemblance R]]*Tableau_REF_Risques[[#This Row],[Gravité]]&lt;=0,1,Tableau_REF_Risques[[#This Row],[Vraisemblance R]]*Tableau_REF_Risques[[#This Row],[Gravité]])</f>
        <v>4</v>
      </c>
      <c r="S7" s="92" t="str">
        <f>VLOOKUP(Tableau_REF_Risques[[#This Row],[NRR]],DATA_Listes!$A$93:$B$101,2,FALSE)</f>
        <v>Modéré</v>
      </c>
      <c r="T7" s="69" t="s">
        <v>190</v>
      </c>
      <c r="U7" s="69" t="s">
        <v>201</v>
      </c>
      <c r="V7" s="71" t="str">
        <f t="shared" si="2"/>
        <v>https://attack.mitre.org/techniques/T1199</v>
      </c>
    </row>
    <row r="8" spans="1:22" x14ac:dyDescent="0.2">
      <c r="A8" s="65" t="s">
        <v>390</v>
      </c>
      <c r="B8" s="69" t="s">
        <v>58</v>
      </c>
      <c r="C8" s="69" t="s">
        <v>202</v>
      </c>
      <c r="D8" s="111">
        <f>REF_ER!C$51</f>
        <v>3</v>
      </c>
      <c r="E8" s="111">
        <f>REF_ER!D$51</f>
        <v>4</v>
      </c>
      <c r="F8" s="111">
        <f>REF_ER!E$51</f>
        <v>4</v>
      </c>
      <c r="G8" s="111">
        <f>REF_ER!F$51</f>
        <v>3</v>
      </c>
      <c r="H8" s="70">
        <f t="shared" si="0"/>
        <v>4</v>
      </c>
      <c r="I8" s="87" t="s">
        <v>379</v>
      </c>
      <c r="J8" s="70">
        <f>MAX(Tableau_REF_Risques[[#This Row],[D]:[P]])</f>
        <v>4</v>
      </c>
      <c r="K8" s="70">
        <f>_xlfn.MAXIFS(Tableau_REF_SMSR[Vrais Retenue],Tableau_REF_SMSR['#SM],Tableau_REF_Risques[[#This Row],['#SM]])</f>
        <v>4</v>
      </c>
      <c r="L8" s="70">
        <f>Tableau_REF_Risques[[#This Row],[Gravité]]*Tableau_REF_Risques[[#This Row],[Vraisemblance I]]</f>
        <v>16</v>
      </c>
      <c r="M8" s="70" t="str">
        <f>VLOOKUP(Tableau_REF_Risques[[#This Row],[NRI]],DATA_Listes!$A$93:$B$101,2,FALSE)</f>
        <v>Critique</v>
      </c>
      <c r="N8" s="89">
        <f>SUMIF(Tableau_REF_SMMS['#SM],Tableau_REF_Risques[[#This Row],['#SM]],Tableau_REF_SMMS[Cout couverture])</f>
        <v>116549.93275609676</v>
      </c>
      <c r="O8" s="90">
        <f>ROUND(SUMIF(Tableau_REF_SMMS['#SM],Tableau_REF_Risques[[#This Row],['#SM]],Tableau_REF_SMMS[Couverture effective]),2)</f>
        <v>1.1399999999999999</v>
      </c>
      <c r="P8" s="90" t="str">
        <f t="shared" si="1"/>
        <v>&gt;100%</v>
      </c>
      <c r="Q8" s="92">
        <f>ROUND(Tableau_REF_Risques[[#This Row],[Vraisemblance I]]*(1-Tableau_REF_Risques[[#This Row],[Tx couv]])+1,0)</f>
        <v>0</v>
      </c>
      <c r="R8" s="92">
        <f>IF(Tableau_REF_Risques[[#This Row],[Vraisemblance R]]*Tableau_REF_Risques[[#This Row],[Gravité]]&lt;=0,1,Tableau_REF_Risques[[#This Row],[Vraisemblance R]]*Tableau_REF_Risques[[#This Row],[Gravité]])</f>
        <v>1</v>
      </c>
      <c r="S8" s="92" t="str">
        <f>VLOOKUP(Tableau_REF_Risques[[#This Row],[NRR]],DATA_Listes!$A$93:$B$101,2,FALSE)</f>
        <v>Faible</v>
      </c>
      <c r="T8" s="69" t="s">
        <v>190</v>
      </c>
      <c r="U8" s="69" t="s">
        <v>203</v>
      </c>
      <c r="V8" s="71" t="str">
        <f t="shared" si="2"/>
        <v>https://attack.mitre.org/techniques/T1078</v>
      </c>
    </row>
    <row r="9" spans="1:22" x14ac:dyDescent="0.2">
      <c r="A9" s="65" t="s">
        <v>391</v>
      </c>
      <c r="B9" s="69" t="s">
        <v>59</v>
      </c>
      <c r="C9" s="69" t="s">
        <v>204</v>
      </c>
      <c r="D9" s="111">
        <f>REF_ER!C$51</f>
        <v>3</v>
      </c>
      <c r="E9" s="111">
        <f>REF_ER!D$51</f>
        <v>4</v>
      </c>
      <c r="F9" s="111">
        <f>REF_ER!E$51</f>
        <v>4</v>
      </c>
      <c r="G9" s="111">
        <f>REF_ER!F$51</f>
        <v>3</v>
      </c>
      <c r="H9" s="70">
        <f t="shared" si="0"/>
        <v>4</v>
      </c>
      <c r="I9" s="87" t="s">
        <v>379</v>
      </c>
      <c r="J9" s="70">
        <f>MAX(Tableau_REF_Risques[[#This Row],[D]:[P]])</f>
        <v>4</v>
      </c>
      <c r="K9" s="70">
        <f>_xlfn.MAXIFS(Tableau_REF_SMSR[Vrais Retenue],Tableau_REF_SMSR['#SM],Tableau_REF_Risques[[#This Row],['#SM]])</f>
        <v>3</v>
      </c>
      <c r="L9" s="70">
        <f>Tableau_REF_Risques[[#This Row],[Gravité]]*Tableau_REF_Risques[[#This Row],[Vraisemblance I]]</f>
        <v>12</v>
      </c>
      <c r="M9" s="70" t="str">
        <f>VLOOKUP(Tableau_REF_Risques[[#This Row],[NRI]],DATA_Listes!$A$93:$B$101,2,FALSE)</f>
        <v>Critique</v>
      </c>
      <c r="N9" s="89">
        <f>SUMIF(Tableau_REF_SMMS['#SM],Tableau_REF_Risques[[#This Row],['#SM]],Tableau_REF_SMMS[Cout couverture])</f>
        <v>28721.914551487858</v>
      </c>
      <c r="O9" s="90">
        <f>ROUND(SUMIF(Tableau_REF_SMMS['#SM],Tableau_REF_Risques[[#This Row],['#SM]],Tableau_REF_SMMS[Couverture effective]),2)</f>
        <v>1</v>
      </c>
      <c r="P9" s="90" t="str">
        <f t="shared" si="1"/>
        <v>100%</v>
      </c>
      <c r="Q9" s="92">
        <f>ROUND(Tableau_REF_Risques[[#This Row],[Vraisemblance I]]*(1-Tableau_REF_Risques[[#This Row],[Tx couv]])+1,0)</f>
        <v>1</v>
      </c>
      <c r="R9" s="92">
        <f>IF(Tableau_REF_Risques[[#This Row],[Vraisemblance R]]*Tableau_REF_Risques[[#This Row],[Gravité]]&lt;=0,1,Tableau_REF_Risques[[#This Row],[Vraisemblance R]]*Tableau_REF_Risques[[#This Row],[Gravité]])</f>
        <v>4</v>
      </c>
      <c r="S9" s="92" t="str">
        <f>VLOOKUP(Tableau_REF_Risques[[#This Row],[NRR]],DATA_Listes!$A$93:$B$101,2,FALSE)</f>
        <v>Modéré</v>
      </c>
      <c r="T9" s="69" t="s">
        <v>190</v>
      </c>
      <c r="U9" s="69" t="s">
        <v>205</v>
      </c>
      <c r="V9" s="71" t="str">
        <f t="shared" si="2"/>
        <v>https://attack.mitre.org/techniques/T1195</v>
      </c>
    </row>
    <row r="10" spans="1:22" x14ac:dyDescent="0.2">
      <c r="A10" s="65" t="s">
        <v>392</v>
      </c>
      <c r="B10" s="69" t="s">
        <v>60</v>
      </c>
      <c r="C10" s="69" t="s">
        <v>206</v>
      </c>
      <c r="D10" s="111"/>
      <c r="E10" s="111"/>
      <c r="F10" s="111">
        <f>REF_ER!E$51</f>
        <v>4</v>
      </c>
      <c r="G10" s="111"/>
      <c r="H10" s="70">
        <f t="shared" si="0"/>
        <v>1</v>
      </c>
      <c r="I10" s="87" t="s">
        <v>187</v>
      </c>
      <c r="J10" s="70">
        <f>MAX(Tableau_REF_Risques[[#This Row],[D]:[P]])</f>
        <v>4</v>
      </c>
      <c r="K10" s="70">
        <f>_xlfn.MAXIFS(Tableau_REF_SMSR[Vrais Retenue],Tableau_REF_SMSR['#SM],Tableau_REF_Risques[[#This Row],['#SM]])</f>
        <v>2</v>
      </c>
      <c r="L10" s="70">
        <f>Tableau_REF_Risques[[#This Row],[Gravité]]*Tableau_REF_Risques[[#This Row],[Vraisemblance I]]</f>
        <v>8</v>
      </c>
      <c r="M10" s="70" t="str">
        <f>VLOOKUP(Tableau_REF_Risques[[#This Row],[NRI]],DATA_Listes!$A$93:$B$101,2,FALSE)</f>
        <v>Fort</v>
      </c>
      <c r="N10" s="89">
        <f>SUMIF(Tableau_REF_SMMS['#SM],Tableau_REF_Risques[[#This Row],['#SM]],Tableau_REF_SMMS[Cout couverture])</f>
        <v>16062.195131516935</v>
      </c>
      <c r="O10" s="90">
        <f>ROUND(SUMIF(Tableau_REF_SMMS['#SM],Tableau_REF_Risques[[#This Row],['#SM]],Tableau_REF_SMMS[Couverture effective]),2)</f>
        <v>0.67</v>
      </c>
      <c r="P10" s="90" t="str">
        <f t="shared" si="1"/>
        <v>&lt;100%</v>
      </c>
      <c r="Q10" s="92">
        <f>ROUND(Tableau_REF_Risques[[#This Row],[Vraisemblance I]]*(1-Tableau_REF_Risques[[#This Row],[Tx couv]])+1,0)</f>
        <v>2</v>
      </c>
      <c r="R10" s="92">
        <f>IF(Tableau_REF_Risques[[#This Row],[Vraisemblance R]]*Tableau_REF_Risques[[#This Row],[Gravité]]&lt;=0,1,Tableau_REF_Risques[[#This Row],[Vraisemblance R]]*Tableau_REF_Risques[[#This Row],[Gravité]])</f>
        <v>8</v>
      </c>
      <c r="S10" s="92" t="str">
        <f>VLOOKUP(Tableau_REF_Risques[[#This Row],[NRR]],DATA_Listes!$A$93:$B$101,2,FALSE)</f>
        <v>Fort</v>
      </c>
      <c r="T10" s="69" t="s">
        <v>190</v>
      </c>
      <c r="U10" s="69"/>
      <c r="V10" s="72"/>
    </row>
    <row r="11" spans="1:22" x14ac:dyDescent="0.2">
      <c r="A11" s="65" t="s">
        <v>393</v>
      </c>
      <c r="B11" s="67" t="s">
        <v>61</v>
      </c>
      <c r="C11" s="67" t="s">
        <v>207</v>
      </c>
      <c r="D11" s="111"/>
      <c r="E11" s="111"/>
      <c r="F11" s="111">
        <f>REF_ER!E$51</f>
        <v>4</v>
      </c>
      <c r="G11" s="111"/>
      <c r="H11" s="70">
        <f t="shared" si="0"/>
        <v>1</v>
      </c>
      <c r="I11" s="87" t="s">
        <v>187</v>
      </c>
      <c r="J11" s="70">
        <f>MAX(Tableau_REF_Risques[[#This Row],[D]:[P]])</f>
        <v>4</v>
      </c>
      <c r="K11" s="70">
        <f>_xlfn.MAXIFS(Tableau_REF_SMSR[Vrais Retenue],Tableau_REF_SMSR['#SM],Tableau_REF_Risques[[#This Row],['#SM]])</f>
        <v>1</v>
      </c>
      <c r="L11" s="70">
        <f>Tableau_REF_Risques[[#This Row],[Gravité]]*Tableau_REF_Risques[[#This Row],[Vraisemblance I]]</f>
        <v>4</v>
      </c>
      <c r="M11" s="70" t="str">
        <f>VLOOKUP(Tableau_REF_Risques[[#This Row],[NRI]],DATA_Listes!$A$93:$B$101,2,FALSE)</f>
        <v>Modéré</v>
      </c>
      <c r="N11" s="89">
        <f>SUMIF(Tableau_REF_SMMS['#SM],Tableau_REF_Risques[[#This Row],['#SM]],Tableau_REF_SMMS[Cout couverture])</f>
        <v>14919.050140243173</v>
      </c>
      <c r="O11" s="90">
        <f>ROUND(SUMIF(Tableau_REF_SMMS['#SM],Tableau_REF_Risques[[#This Row],['#SM]],Tableau_REF_SMMS[Couverture effective]),2)</f>
        <v>0.56999999999999995</v>
      </c>
      <c r="P11" s="90" t="str">
        <f t="shared" si="1"/>
        <v>&lt;100%</v>
      </c>
      <c r="Q11" s="92">
        <f>ROUND(Tableau_REF_Risques[[#This Row],[Vraisemblance I]]*(1-Tableau_REF_Risques[[#This Row],[Tx couv]])+1,0)</f>
        <v>1</v>
      </c>
      <c r="R11" s="92">
        <f>IF(Tableau_REF_Risques[[#This Row],[Vraisemblance R]]*Tableau_REF_Risques[[#This Row],[Gravité]]&lt;=0,1,Tableau_REF_Risques[[#This Row],[Vraisemblance R]]*Tableau_REF_Risques[[#This Row],[Gravité]])</f>
        <v>4</v>
      </c>
      <c r="S11" s="92" t="str">
        <f>VLOOKUP(Tableau_REF_Risques[[#This Row],[NRR]],DATA_Listes!$A$93:$B$101,2,FALSE)</f>
        <v>Modéré</v>
      </c>
      <c r="T11" s="69" t="s">
        <v>190</v>
      </c>
      <c r="U11" s="69"/>
      <c r="V11" s="72"/>
    </row>
    <row r="12" spans="1:22" x14ac:dyDescent="0.2">
      <c r="A12" s="65" t="s">
        <v>394</v>
      </c>
      <c r="B12" s="69" t="s">
        <v>62</v>
      </c>
      <c r="C12" s="69" t="s">
        <v>208</v>
      </c>
      <c r="D12" s="111">
        <f>REF_ER!C$51</f>
        <v>3</v>
      </c>
      <c r="E12" s="111">
        <f>REF_ER!D$51</f>
        <v>4</v>
      </c>
      <c r="F12" s="111">
        <f>REF_ER!E$51</f>
        <v>4</v>
      </c>
      <c r="G12" s="111">
        <f>REF_ER!F$51</f>
        <v>3</v>
      </c>
      <c r="H12" s="70">
        <f t="shared" si="0"/>
        <v>4</v>
      </c>
      <c r="I12" s="87" t="s">
        <v>379</v>
      </c>
      <c r="J12" s="70">
        <f>MAX(Tableau_REF_Risques[[#This Row],[D]:[P]])</f>
        <v>4</v>
      </c>
      <c r="K12" s="70">
        <f>_xlfn.MAXIFS(Tableau_REF_SMSR[Vrais Retenue],Tableau_REF_SMSR['#SM],Tableau_REF_Risques[[#This Row],['#SM]])</f>
        <v>3</v>
      </c>
      <c r="L12" s="70">
        <f>Tableau_REF_Risques[[#This Row],[Gravité]]*Tableau_REF_Risques[[#This Row],[Vraisemblance I]]</f>
        <v>12</v>
      </c>
      <c r="M12" s="70" t="str">
        <f>VLOOKUP(Tableau_REF_Risques[[#This Row],[NRI]],DATA_Listes!$A$93:$B$101,2,FALSE)</f>
        <v>Critique</v>
      </c>
      <c r="N12" s="89">
        <f>SUMIF(Tableau_REF_SMMS['#SM],Tableau_REF_Risques[[#This Row],['#SM]],Tableau_REF_SMMS[Cout couverture])</f>
        <v>39942.941774025567</v>
      </c>
      <c r="O12" s="90">
        <f>ROUND(SUMIF(Tableau_REF_SMMS['#SM],Tableau_REF_Risques[[#This Row],['#SM]],Tableau_REF_SMMS[Couverture effective]),2)</f>
        <v>1</v>
      </c>
      <c r="P12" s="90" t="str">
        <f t="shared" si="1"/>
        <v>100%</v>
      </c>
      <c r="Q12" s="92">
        <f>ROUND(Tableau_REF_Risques[[#This Row],[Vraisemblance I]]*(1-Tableau_REF_Risques[[#This Row],[Tx couv]])+1,0)</f>
        <v>1</v>
      </c>
      <c r="R12" s="92">
        <f>IF(Tableau_REF_Risques[[#This Row],[Vraisemblance R]]*Tableau_REF_Risques[[#This Row],[Gravité]]&lt;=0,1,Tableau_REF_Risques[[#This Row],[Vraisemblance R]]*Tableau_REF_Risques[[#This Row],[Gravité]])</f>
        <v>4</v>
      </c>
      <c r="S12" s="92" t="str">
        <f>VLOOKUP(Tableau_REF_Risques[[#This Row],[NRR]],DATA_Listes!$A$93:$B$101,2,FALSE)</f>
        <v>Modéré</v>
      </c>
      <c r="T12" s="69" t="s">
        <v>209</v>
      </c>
      <c r="U12" s="69" t="s">
        <v>210</v>
      </c>
      <c r="V12" s="71" t="str">
        <f t="shared" ref="V12:V17" si="3">"https://attack.mitre.org/techniques/"&amp;U12</f>
        <v>https://attack.mitre.org/techniques/T1059</v>
      </c>
    </row>
    <row r="13" spans="1:22" x14ac:dyDescent="0.2">
      <c r="A13" s="65" t="s">
        <v>395</v>
      </c>
      <c r="B13" s="69" t="s">
        <v>63</v>
      </c>
      <c r="C13" s="69" t="s">
        <v>211</v>
      </c>
      <c r="D13" s="111"/>
      <c r="E13" s="111">
        <f>REF_ER!D$51</f>
        <v>4</v>
      </c>
      <c r="F13" s="111">
        <f>REF_ER!E$51</f>
        <v>4</v>
      </c>
      <c r="G13" s="111"/>
      <c r="H13" s="70">
        <f t="shared" si="0"/>
        <v>2</v>
      </c>
      <c r="I13" s="87" t="s">
        <v>380</v>
      </c>
      <c r="J13" s="70">
        <f>MAX(Tableau_REF_Risques[[#This Row],[D]:[P]])</f>
        <v>4</v>
      </c>
      <c r="K13" s="70">
        <f>_xlfn.MAXIFS(Tableau_REF_SMSR[Vrais Retenue],Tableau_REF_SMSR['#SM],Tableau_REF_Risques[[#This Row],['#SM]])</f>
        <v>3</v>
      </c>
      <c r="L13" s="70">
        <f>Tableau_REF_Risques[[#This Row],[Gravité]]*Tableau_REF_Risques[[#This Row],[Vraisemblance I]]</f>
        <v>12</v>
      </c>
      <c r="M13" s="70" t="str">
        <f>VLOOKUP(Tableau_REF_Risques[[#This Row],[NRI]],DATA_Listes!$A$93:$B$101,2,FALSE)</f>
        <v>Critique</v>
      </c>
      <c r="N13" s="89">
        <f>SUMIF(Tableau_REF_SMMS['#SM],Tableau_REF_Risques[[#This Row],['#SM]],Tableau_REF_SMMS[Cout couverture])</f>
        <v>42259.260210232162</v>
      </c>
      <c r="O13" s="90">
        <f>ROUND(SUMIF(Tableau_REF_SMMS['#SM],Tableau_REF_Risques[[#This Row],['#SM]],Tableau_REF_SMMS[Couverture effective]),2)</f>
        <v>1</v>
      </c>
      <c r="P13" s="90" t="str">
        <f t="shared" si="1"/>
        <v>100%</v>
      </c>
      <c r="Q13" s="92">
        <f>ROUND(Tableau_REF_Risques[[#This Row],[Vraisemblance I]]*(1-Tableau_REF_Risques[[#This Row],[Tx couv]])+1,0)</f>
        <v>1</v>
      </c>
      <c r="R13" s="92">
        <f>IF(Tableau_REF_Risques[[#This Row],[Vraisemblance R]]*Tableau_REF_Risques[[#This Row],[Gravité]]&lt;=0,1,Tableau_REF_Risques[[#This Row],[Vraisemblance R]]*Tableau_REF_Risques[[#This Row],[Gravité]])</f>
        <v>4</v>
      </c>
      <c r="S13" s="92" t="str">
        <f>VLOOKUP(Tableau_REF_Risques[[#This Row],[NRR]],DATA_Listes!$A$93:$B$101,2,FALSE)</f>
        <v>Modéré</v>
      </c>
      <c r="T13" s="69" t="s">
        <v>209</v>
      </c>
      <c r="U13" s="69" t="s">
        <v>212</v>
      </c>
      <c r="V13" s="71" t="str">
        <f t="shared" si="3"/>
        <v>https://attack.mitre.org/techniques/T1053</v>
      </c>
    </row>
    <row r="14" spans="1:22" x14ac:dyDescent="0.2">
      <c r="A14" s="65" t="s">
        <v>396</v>
      </c>
      <c r="B14" s="69" t="s">
        <v>64</v>
      </c>
      <c r="C14" s="69" t="s">
        <v>213</v>
      </c>
      <c r="D14" s="111"/>
      <c r="E14" s="111">
        <f>REF_ER!D$51</f>
        <v>4</v>
      </c>
      <c r="F14" s="111">
        <f>REF_ER!E$51</f>
        <v>4</v>
      </c>
      <c r="G14" s="111">
        <f>REF_ER!F$51</f>
        <v>3</v>
      </c>
      <c r="H14" s="70">
        <f t="shared" si="0"/>
        <v>3</v>
      </c>
      <c r="I14" s="87" t="s">
        <v>381</v>
      </c>
      <c r="J14" s="70">
        <f>MAX(Tableau_REF_Risques[[#This Row],[D]:[P]])</f>
        <v>4</v>
      </c>
      <c r="K14" s="70">
        <f>_xlfn.MAXIFS(Tableau_REF_SMSR[Vrais Retenue],Tableau_REF_SMSR['#SM],Tableau_REF_Risques[[#This Row],['#SM]])</f>
        <v>3</v>
      </c>
      <c r="L14" s="70">
        <f>Tableau_REF_Risques[[#This Row],[Gravité]]*Tableau_REF_Risques[[#This Row],[Vraisemblance I]]</f>
        <v>12</v>
      </c>
      <c r="M14" s="70" t="str">
        <f>VLOOKUP(Tableau_REF_Risques[[#This Row],[NRI]],DATA_Listes!$A$93:$B$101,2,FALSE)</f>
        <v>Critique</v>
      </c>
      <c r="N14" s="89">
        <f>SUMIF(Tableau_REF_SMMS['#SM],Tableau_REF_Risques[[#This Row],['#SM]],Tableau_REF_SMMS[Cout couverture])</f>
        <v>53419.175504669969</v>
      </c>
      <c r="O14" s="90">
        <f>ROUND(SUMIF(Tableau_REF_SMMS['#SM],Tableau_REF_Risques[[#This Row],['#SM]],Tableau_REF_SMMS[Couverture effective]),2)</f>
        <v>1</v>
      </c>
      <c r="P14" s="90" t="str">
        <f t="shared" si="1"/>
        <v>100%</v>
      </c>
      <c r="Q14" s="92">
        <f>ROUND(Tableau_REF_Risques[[#This Row],[Vraisemblance I]]*(1-Tableau_REF_Risques[[#This Row],[Tx couv]])+1,0)</f>
        <v>1</v>
      </c>
      <c r="R14" s="92">
        <f>IF(Tableau_REF_Risques[[#This Row],[Vraisemblance R]]*Tableau_REF_Risques[[#This Row],[Gravité]]&lt;=0,1,Tableau_REF_Risques[[#This Row],[Vraisemblance R]]*Tableau_REF_Risques[[#This Row],[Gravité]])</f>
        <v>4</v>
      </c>
      <c r="S14" s="92" t="str">
        <f>VLOOKUP(Tableau_REF_Risques[[#This Row],[NRR]],DATA_Listes!$A$93:$B$101,2,FALSE)</f>
        <v>Modéré</v>
      </c>
      <c r="T14" s="69" t="s">
        <v>209</v>
      </c>
      <c r="U14" s="69" t="s">
        <v>214</v>
      </c>
      <c r="V14" s="71" t="str">
        <f t="shared" si="3"/>
        <v>https://attack.mitre.org/techniques/T1098</v>
      </c>
    </row>
    <row r="15" spans="1:22" x14ac:dyDescent="0.2">
      <c r="A15" s="65" t="s">
        <v>397</v>
      </c>
      <c r="B15" s="69" t="s">
        <v>65</v>
      </c>
      <c r="C15" s="69" t="s">
        <v>215</v>
      </c>
      <c r="D15" s="111"/>
      <c r="E15" s="111">
        <f>REF_ER!D$51</f>
        <v>4</v>
      </c>
      <c r="F15" s="111">
        <f>REF_ER!E$51</f>
        <v>4</v>
      </c>
      <c r="G15" s="111"/>
      <c r="H15" s="70">
        <f t="shared" si="0"/>
        <v>2</v>
      </c>
      <c r="I15" s="87" t="s">
        <v>380</v>
      </c>
      <c r="J15" s="70">
        <f>MAX(Tableau_REF_Risques[[#This Row],[D]:[P]])</f>
        <v>4</v>
      </c>
      <c r="K15" s="70">
        <f>_xlfn.MAXIFS(Tableau_REF_SMSR[Vrais Retenue],Tableau_REF_SMSR['#SM],Tableau_REF_Risques[[#This Row],['#SM]])</f>
        <v>4</v>
      </c>
      <c r="L15" s="70">
        <f>Tableau_REF_Risques[[#This Row],[Gravité]]*Tableau_REF_Risques[[#This Row],[Vraisemblance I]]</f>
        <v>16</v>
      </c>
      <c r="M15" s="70" t="str">
        <f>VLOOKUP(Tableau_REF_Risques[[#This Row],[NRI]],DATA_Listes!$A$93:$B$101,2,FALSE)</f>
        <v>Critique</v>
      </c>
      <c r="N15" s="89">
        <f>SUMIF(Tableau_REF_SMMS['#SM],Tableau_REF_Risques[[#This Row],['#SM]],Tableau_REF_SMMS[Cout couverture])</f>
        <v>30873.660911968327</v>
      </c>
      <c r="O15" s="90">
        <f>ROUND(SUMIF(Tableau_REF_SMMS['#SM],Tableau_REF_Risques[[#This Row],['#SM]],Tableau_REF_SMMS[Couverture effective]),2)</f>
        <v>0.96</v>
      </c>
      <c r="P15" s="90" t="str">
        <f t="shared" si="1"/>
        <v>&lt;100%</v>
      </c>
      <c r="Q15" s="92">
        <f>ROUND(Tableau_REF_Risques[[#This Row],[Vraisemblance I]]*(1-Tableau_REF_Risques[[#This Row],[Tx couv]])+1,0)</f>
        <v>1</v>
      </c>
      <c r="R15" s="92">
        <f>IF(Tableau_REF_Risques[[#This Row],[Vraisemblance R]]*Tableau_REF_Risques[[#This Row],[Gravité]]&lt;=0,1,Tableau_REF_Risques[[#This Row],[Vraisemblance R]]*Tableau_REF_Risques[[#This Row],[Gravité]])</f>
        <v>4</v>
      </c>
      <c r="S15" s="92" t="str">
        <f>VLOOKUP(Tableau_REF_Risques[[#This Row],[NRR]],DATA_Listes!$A$93:$B$101,2,FALSE)</f>
        <v>Modéré</v>
      </c>
      <c r="T15" s="69" t="s">
        <v>209</v>
      </c>
      <c r="U15" s="69" t="s">
        <v>216</v>
      </c>
      <c r="V15" s="71" t="str">
        <f t="shared" si="3"/>
        <v>https://attack.mitre.org/techniques/T1176</v>
      </c>
    </row>
    <row r="16" spans="1:22" x14ac:dyDescent="0.2">
      <c r="A16" s="65" t="s">
        <v>398</v>
      </c>
      <c r="B16" s="69" t="s">
        <v>66</v>
      </c>
      <c r="C16" s="69" t="s">
        <v>217</v>
      </c>
      <c r="D16" s="111"/>
      <c r="E16" s="111">
        <f>REF_ER!D$51</f>
        <v>4</v>
      </c>
      <c r="F16" s="111">
        <f>REF_ER!E$51</f>
        <v>4</v>
      </c>
      <c r="G16" s="111"/>
      <c r="H16" s="70">
        <f t="shared" si="0"/>
        <v>2</v>
      </c>
      <c r="I16" s="87" t="s">
        <v>380</v>
      </c>
      <c r="J16" s="70">
        <f>MAX(Tableau_REF_Risques[[#This Row],[D]:[P]])</f>
        <v>4</v>
      </c>
      <c r="K16" s="70">
        <f>_xlfn.MAXIFS(Tableau_REF_SMSR[Vrais Retenue],Tableau_REF_SMSR['#SM],Tableau_REF_Risques[[#This Row],['#SM]])</f>
        <v>3</v>
      </c>
      <c r="L16" s="70">
        <f>Tableau_REF_Risques[[#This Row],[Gravité]]*Tableau_REF_Risques[[#This Row],[Vraisemblance I]]</f>
        <v>12</v>
      </c>
      <c r="M16" s="70" t="str">
        <f>VLOOKUP(Tableau_REF_Risques[[#This Row],[NRI]],DATA_Listes!$A$93:$B$101,2,FALSE)</f>
        <v>Critique</v>
      </c>
      <c r="N16" s="89">
        <f>SUMIF(Tableau_REF_SMMS['#SM],Tableau_REF_Risques[[#This Row],['#SM]],Tableau_REF_SMMS[Cout couverture])</f>
        <v>42266.141363241819</v>
      </c>
      <c r="O16" s="90">
        <f>ROUND(SUMIF(Tableau_REF_SMMS['#SM],Tableau_REF_Risques[[#This Row],['#SM]],Tableau_REF_SMMS[Couverture effective]),2)</f>
        <v>1</v>
      </c>
      <c r="P16" s="90" t="str">
        <f t="shared" si="1"/>
        <v>100%</v>
      </c>
      <c r="Q16" s="92">
        <f>ROUND(Tableau_REF_Risques[[#This Row],[Vraisemblance I]]*(1-Tableau_REF_Risques[[#This Row],[Tx couv]])+1,0)</f>
        <v>1</v>
      </c>
      <c r="R16" s="92">
        <f>IF(Tableau_REF_Risques[[#This Row],[Vraisemblance R]]*Tableau_REF_Risques[[#This Row],[Gravité]]&lt;=0,1,Tableau_REF_Risques[[#This Row],[Vraisemblance R]]*Tableau_REF_Risques[[#This Row],[Gravité]])</f>
        <v>4</v>
      </c>
      <c r="S16" s="92" t="str">
        <f>VLOOKUP(Tableau_REF_Risques[[#This Row],[NRR]],DATA_Listes!$A$93:$B$101,2,FALSE)</f>
        <v>Modéré</v>
      </c>
      <c r="T16" s="69" t="s">
        <v>209</v>
      </c>
      <c r="U16" s="69" t="s">
        <v>218</v>
      </c>
      <c r="V16" s="71" t="str">
        <f t="shared" si="3"/>
        <v>https://attack.mitre.org/techniques/T1548</v>
      </c>
    </row>
    <row r="17" spans="1:22" x14ac:dyDescent="0.2">
      <c r="A17" s="65" t="s">
        <v>399</v>
      </c>
      <c r="B17" s="69" t="s">
        <v>67</v>
      </c>
      <c r="C17" s="69" t="s">
        <v>219</v>
      </c>
      <c r="D17" s="111"/>
      <c r="E17" s="111"/>
      <c r="F17" s="111">
        <f>REF_ER!E$51</f>
        <v>4</v>
      </c>
      <c r="G17" s="111"/>
      <c r="H17" s="70">
        <f t="shared" si="0"/>
        <v>1</v>
      </c>
      <c r="I17" s="87" t="s">
        <v>187</v>
      </c>
      <c r="J17" s="70">
        <f>MAX(Tableau_REF_Risques[[#This Row],[D]:[P]])</f>
        <v>4</v>
      </c>
      <c r="K17" s="70">
        <f>_xlfn.MAXIFS(Tableau_REF_SMSR[Vrais Retenue],Tableau_REF_SMSR['#SM],Tableau_REF_Risques[[#This Row],['#SM]])</f>
        <v>4</v>
      </c>
      <c r="L17" s="70">
        <f>Tableau_REF_Risques[[#This Row],[Gravité]]*Tableau_REF_Risques[[#This Row],[Vraisemblance I]]</f>
        <v>16</v>
      </c>
      <c r="M17" s="70" t="str">
        <f>VLOOKUP(Tableau_REF_Risques[[#This Row],[NRI]],DATA_Listes!$A$93:$B$101,2,FALSE)</f>
        <v>Critique</v>
      </c>
      <c r="N17" s="89">
        <f>SUMIF(Tableau_REF_SMMS['#SM],Tableau_REF_Risques[[#This Row],['#SM]],Tableau_REF_SMMS[Cout couverture])</f>
        <v>59622.13185400387</v>
      </c>
      <c r="O17" s="90">
        <f>ROUND(SUMIF(Tableau_REF_SMMS['#SM],Tableau_REF_Risques[[#This Row],['#SM]],Tableau_REF_SMMS[Couverture effective]),2)</f>
        <v>1.1000000000000001</v>
      </c>
      <c r="P17" s="90" t="str">
        <f t="shared" si="1"/>
        <v>&gt;100%</v>
      </c>
      <c r="Q17" s="92">
        <f>ROUND(Tableau_REF_Risques[[#This Row],[Vraisemblance I]]*(1-Tableau_REF_Risques[[#This Row],[Tx couv]])+1,0)</f>
        <v>1</v>
      </c>
      <c r="R17" s="92">
        <f>IF(Tableau_REF_Risques[[#This Row],[Vraisemblance R]]*Tableau_REF_Risques[[#This Row],[Gravité]]&lt;=0,1,Tableau_REF_Risques[[#This Row],[Vraisemblance R]]*Tableau_REF_Risques[[#This Row],[Gravité]])</f>
        <v>4</v>
      </c>
      <c r="S17" s="92" t="str">
        <f>VLOOKUP(Tableau_REF_Risques[[#This Row],[NRR]],DATA_Listes!$A$93:$B$101,2,FALSE)</f>
        <v>Modéré</v>
      </c>
      <c r="T17" s="69" t="s">
        <v>209</v>
      </c>
      <c r="U17" s="69" t="s">
        <v>220</v>
      </c>
      <c r="V17" s="71" t="str">
        <f t="shared" si="3"/>
        <v>https://attack.mitre.org/techniques/T1210</v>
      </c>
    </row>
    <row r="18" spans="1:22" x14ac:dyDescent="0.2">
      <c r="A18" s="65" t="s">
        <v>400</v>
      </c>
      <c r="B18" s="69" t="s">
        <v>68</v>
      </c>
      <c r="C18" s="69" t="s">
        <v>221</v>
      </c>
      <c r="D18" s="111"/>
      <c r="E18" s="111"/>
      <c r="F18" s="111">
        <f>REF_ER!E$51</f>
        <v>4</v>
      </c>
      <c r="G18" s="111"/>
      <c r="H18" s="70">
        <f t="shared" si="0"/>
        <v>1</v>
      </c>
      <c r="I18" s="87" t="s">
        <v>187</v>
      </c>
      <c r="J18" s="70">
        <f>MAX(Tableau_REF_Risques[[#This Row],[D]:[P]])</f>
        <v>4</v>
      </c>
      <c r="K18" s="70">
        <f>_xlfn.MAXIFS(Tableau_REF_SMSR[Vrais Retenue],Tableau_REF_SMSR['#SM],Tableau_REF_Risques[[#This Row],['#SM]])</f>
        <v>4</v>
      </c>
      <c r="L18" s="70">
        <f>Tableau_REF_Risques[[#This Row],[Gravité]]*Tableau_REF_Risques[[#This Row],[Vraisemblance I]]</f>
        <v>16</v>
      </c>
      <c r="M18" s="70" t="str">
        <f>VLOOKUP(Tableau_REF_Risques[[#This Row],[NRI]],DATA_Listes!$A$93:$B$101,2,FALSE)</f>
        <v>Critique</v>
      </c>
      <c r="N18" s="89">
        <f>SUMIF(Tableau_REF_SMMS['#SM],Tableau_REF_Risques[[#This Row],['#SM]],Tableau_REF_SMMS[Cout couverture])</f>
        <v>38998.301113582173</v>
      </c>
      <c r="O18" s="90">
        <f>ROUND(SUMIF(Tableau_REF_SMMS['#SM],Tableau_REF_Risques[[#This Row],['#SM]],Tableau_REF_SMMS[Couverture effective]),2)</f>
        <v>1.26</v>
      </c>
      <c r="P18" s="90" t="str">
        <f t="shared" si="1"/>
        <v>&gt;100%</v>
      </c>
      <c r="Q18" s="92">
        <f>ROUND(Tableau_REF_Risques[[#This Row],[Vraisemblance I]]*(1-Tableau_REF_Risques[[#This Row],[Tx couv]])+1,0)</f>
        <v>0</v>
      </c>
      <c r="R18" s="92">
        <f>IF(Tableau_REF_Risques[[#This Row],[Vraisemblance R]]*Tableau_REF_Risques[[#This Row],[Gravité]]&lt;=0,1,Tableau_REF_Risques[[#This Row],[Vraisemblance R]]*Tableau_REF_Risques[[#This Row],[Gravité]])</f>
        <v>1</v>
      </c>
      <c r="S18" s="92" t="str">
        <f>VLOOKUP(Tableau_REF_Risques[[#This Row],[NRR]],DATA_Listes!$A$93:$B$101,2,FALSE)</f>
        <v>Faible</v>
      </c>
      <c r="T18" s="69" t="s">
        <v>222</v>
      </c>
      <c r="U18" s="69" t="s">
        <v>223</v>
      </c>
      <c r="V18" s="72"/>
    </row>
    <row r="19" spans="1:22" x14ac:dyDescent="0.2">
      <c r="A19" s="65" t="s">
        <v>401</v>
      </c>
      <c r="B19" s="69" t="s">
        <v>69</v>
      </c>
      <c r="C19" s="69" t="s">
        <v>224</v>
      </c>
      <c r="D19" s="111"/>
      <c r="E19" s="111">
        <f>REF_ER!D$51</f>
        <v>4</v>
      </c>
      <c r="F19" s="111">
        <f>REF_ER!E$51</f>
        <v>4</v>
      </c>
      <c r="G19" s="111"/>
      <c r="H19" s="70">
        <f t="shared" si="0"/>
        <v>2</v>
      </c>
      <c r="I19" s="87" t="s">
        <v>380</v>
      </c>
      <c r="J19" s="70">
        <f>MAX(Tableau_REF_Risques[[#This Row],[D]:[P]])</f>
        <v>4</v>
      </c>
      <c r="K19" s="70">
        <f>_xlfn.MAXIFS(Tableau_REF_SMSR[Vrais Retenue],Tableau_REF_SMSR['#SM],Tableau_REF_Risques[[#This Row],['#SM]])</f>
        <v>4</v>
      </c>
      <c r="L19" s="70">
        <f>Tableau_REF_Risques[[#This Row],[Gravité]]*Tableau_REF_Risques[[#This Row],[Vraisemblance I]]</f>
        <v>16</v>
      </c>
      <c r="M19" s="70" t="str">
        <f>VLOOKUP(Tableau_REF_Risques[[#This Row],[NRI]],DATA_Listes!$A$93:$B$101,2,FALSE)</f>
        <v>Critique</v>
      </c>
      <c r="N19" s="89">
        <f>SUMIF(Tableau_REF_SMMS['#SM],Tableau_REF_Risques[[#This Row],['#SM]],Tableau_REF_SMMS[Cout couverture])</f>
        <v>77811.41764304736</v>
      </c>
      <c r="O19" s="90">
        <f>ROUND(SUMIF(Tableau_REF_SMMS['#SM],Tableau_REF_Risques[[#This Row],['#SM]],Tableau_REF_SMMS[Couverture effective]),2)</f>
        <v>1</v>
      </c>
      <c r="P19" s="90" t="str">
        <f t="shared" si="1"/>
        <v>100%</v>
      </c>
      <c r="Q19" s="92">
        <f>ROUND(Tableau_REF_Risques[[#This Row],[Vraisemblance I]]*(1-Tableau_REF_Risques[[#This Row],[Tx couv]])+1,0)</f>
        <v>1</v>
      </c>
      <c r="R19" s="92">
        <f>IF(Tableau_REF_Risques[[#This Row],[Vraisemblance R]]*Tableau_REF_Risques[[#This Row],[Gravité]]&lt;=0,1,Tableau_REF_Risques[[#This Row],[Vraisemblance R]]*Tableau_REF_Risques[[#This Row],[Gravité]])</f>
        <v>4</v>
      </c>
      <c r="S19" s="92" t="str">
        <f>VLOOKUP(Tableau_REF_Risques[[#This Row],[NRR]],DATA_Listes!$A$93:$B$101,2,FALSE)</f>
        <v>Modéré</v>
      </c>
      <c r="T19" s="69" t="s">
        <v>225</v>
      </c>
      <c r="U19" s="69"/>
      <c r="V19" s="72"/>
    </row>
    <row r="20" spans="1:22" x14ac:dyDescent="0.2">
      <c r="A20" s="65" t="s">
        <v>402</v>
      </c>
      <c r="B20" s="69" t="s">
        <v>70</v>
      </c>
      <c r="C20" s="69" t="s">
        <v>226</v>
      </c>
      <c r="D20" s="111">
        <f>REF_ER!C$51</f>
        <v>3</v>
      </c>
      <c r="E20" s="111"/>
      <c r="F20" s="111"/>
      <c r="G20" s="111"/>
      <c r="H20" s="70">
        <f t="shared" si="0"/>
        <v>1</v>
      </c>
      <c r="I20" s="87" t="s">
        <v>185</v>
      </c>
      <c r="J20" s="70">
        <f>MAX(Tableau_REF_Risques[[#This Row],[D]:[P]])</f>
        <v>3</v>
      </c>
      <c r="K20" s="70">
        <f>_xlfn.MAXIFS(Tableau_REF_SMSR[Vrais Retenue],Tableau_REF_SMSR['#SM],Tableau_REF_Risques[[#This Row],['#SM]])</f>
        <v>4</v>
      </c>
      <c r="L20" s="70">
        <f>Tableau_REF_Risques[[#This Row],[Gravité]]*Tableau_REF_Risques[[#This Row],[Vraisemblance I]]</f>
        <v>12</v>
      </c>
      <c r="M20" s="70" t="str">
        <f>VLOOKUP(Tableau_REF_Risques[[#This Row],[NRI]],DATA_Listes!$A$93:$B$101,2,FALSE)</f>
        <v>Critique</v>
      </c>
      <c r="N20" s="89">
        <f>SUMIF(Tableau_REF_SMMS['#SM],Tableau_REF_Risques[[#This Row],['#SM]],Tableau_REF_SMMS[Cout couverture])</f>
        <v>41461.867350577028</v>
      </c>
      <c r="O20" s="90">
        <f>ROUND(SUMIF(Tableau_REF_SMMS['#SM],Tableau_REF_Risques[[#This Row],['#SM]],Tableau_REF_SMMS[Couverture effective]),2)</f>
        <v>0.98</v>
      </c>
      <c r="P20" s="90" t="str">
        <f t="shared" si="1"/>
        <v>&lt;100%</v>
      </c>
      <c r="Q20" s="92">
        <f>ROUND(Tableau_REF_Risques[[#This Row],[Vraisemblance I]]*(1-Tableau_REF_Risques[[#This Row],[Tx couv]])+1,0)</f>
        <v>1</v>
      </c>
      <c r="R20" s="92">
        <f>IF(Tableau_REF_Risques[[#This Row],[Vraisemblance R]]*Tableau_REF_Risques[[#This Row],[Gravité]]&lt;=0,1,Tableau_REF_Risques[[#This Row],[Vraisemblance R]]*Tableau_REF_Risques[[#This Row],[Gravité]])</f>
        <v>3</v>
      </c>
      <c r="S20" s="92" t="str">
        <f>VLOOKUP(Tableau_REF_Risques[[#This Row],[NRR]],DATA_Listes!$A$93:$B$101,2,FALSE)</f>
        <v>Modéré</v>
      </c>
      <c r="T20" s="69" t="s">
        <v>227</v>
      </c>
      <c r="U20" s="73"/>
      <c r="V20" s="73"/>
    </row>
    <row r="21" spans="1:22" x14ac:dyDescent="0.2">
      <c r="A21" s="65" t="s">
        <v>403</v>
      </c>
      <c r="B21" s="69" t="s">
        <v>71</v>
      </c>
      <c r="C21" s="69" t="s">
        <v>228</v>
      </c>
      <c r="D21" s="111"/>
      <c r="E21" s="111">
        <f>REF_ER!D$51</f>
        <v>4</v>
      </c>
      <c r="F21" s="111">
        <f>REF_ER!E$51</f>
        <v>4</v>
      </c>
      <c r="G21" s="111"/>
      <c r="H21" s="70">
        <f t="shared" si="0"/>
        <v>2</v>
      </c>
      <c r="I21" s="87" t="s">
        <v>380</v>
      </c>
      <c r="J21" s="70">
        <f>MAX(Tableau_REF_Risques[[#This Row],[D]:[P]])</f>
        <v>4</v>
      </c>
      <c r="K21" s="70">
        <f>_xlfn.MAXIFS(Tableau_REF_SMSR[Vrais Retenue],Tableau_REF_SMSR['#SM],Tableau_REF_Risques[[#This Row],['#SM]])</f>
        <v>2</v>
      </c>
      <c r="L21" s="70">
        <f>Tableau_REF_Risques[[#This Row],[Gravité]]*Tableau_REF_Risques[[#This Row],[Vraisemblance I]]</f>
        <v>8</v>
      </c>
      <c r="M21" s="70" t="str">
        <f>VLOOKUP(Tableau_REF_Risques[[#This Row],[NRI]],DATA_Listes!$A$93:$B$101,2,FALSE)</f>
        <v>Fort</v>
      </c>
      <c r="N21" s="89">
        <f>SUMIF(Tableau_REF_SMMS['#SM],Tableau_REF_Risques[[#This Row],['#SM]],Tableau_REF_SMMS[Cout couverture])</f>
        <v>53262.265630669855</v>
      </c>
      <c r="O21" s="90">
        <f>ROUND(SUMIF(Tableau_REF_SMMS['#SM],Tableau_REF_Risques[[#This Row],['#SM]],Tableau_REF_SMMS[Couverture effective]),2)</f>
        <v>1</v>
      </c>
      <c r="P21" s="90" t="str">
        <f t="shared" si="1"/>
        <v>100%</v>
      </c>
      <c r="Q21" s="92">
        <f>ROUND(Tableau_REF_Risques[[#This Row],[Vraisemblance I]]*(1-Tableau_REF_Risques[[#This Row],[Tx couv]])+1,0)</f>
        <v>1</v>
      </c>
      <c r="R21" s="92">
        <f>IF(Tableau_REF_Risques[[#This Row],[Vraisemblance R]]*Tableau_REF_Risques[[#This Row],[Gravité]]&lt;=0,1,Tableau_REF_Risques[[#This Row],[Vraisemblance R]]*Tableau_REF_Risques[[#This Row],[Gravité]])</f>
        <v>4</v>
      </c>
      <c r="S21" s="92" t="str">
        <f>VLOOKUP(Tableau_REF_Risques[[#This Row],[NRR]],DATA_Listes!$A$93:$B$101,2,FALSE)</f>
        <v>Modéré</v>
      </c>
      <c r="T21" s="69" t="s">
        <v>229</v>
      </c>
      <c r="U21" s="73"/>
      <c r="V21" s="73"/>
    </row>
    <row r="22" spans="1:22" x14ac:dyDescent="0.2">
      <c r="A22" s="65" t="s">
        <v>404</v>
      </c>
      <c r="B22" s="69" t="s">
        <v>72</v>
      </c>
      <c r="C22" s="69" t="s">
        <v>230</v>
      </c>
      <c r="D22" s="111">
        <f>REF_ER!C$51</f>
        <v>3</v>
      </c>
      <c r="E22" s="111"/>
      <c r="F22" s="111"/>
      <c r="G22" s="111"/>
      <c r="H22" s="70">
        <f t="shared" si="0"/>
        <v>1</v>
      </c>
      <c r="I22" s="87" t="s">
        <v>185</v>
      </c>
      <c r="J22" s="70">
        <f>MAX(Tableau_REF_Risques[[#This Row],[D]:[P]])</f>
        <v>3</v>
      </c>
      <c r="K22" s="70">
        <f>_xlfn.MAXIFS(Tableau_REF_SMSR[Vrais Retenue],Tableau_REF_SMSR['#SM],Tableau_REF_Risques[[#This Row],['#SM]])</f>
        <v>2</v>
      </c>
      <c r="L22" s="70">
        <f>Tableau_REF_Risques[[#This Row],[Gravité]]*Tableau_REF_Risques[[#This Row],[Vraisemblance I]]</f>
        <v>6</v>
      </c>
      <c r="M22" s="70" t="str">
        <f>VLOOKUP(Tableau_REF_Risques[[#This Row],[NRI]],DATA_Listes!$A$93:$B$101,2,FALSE)</f>
        <v>Fort</v>
      </c>
      <c r="N22" s="89">
        <f>SUMIF(Tableau_REF_SMMS['#SM],Tableau_REF_Risques[[#This Row],['#SM]],Tableau_REF_SMMS[Cout couverture])</f>
        <v>53365.806155048413</v>
      </c>
      <c r="O22" s="90">
        <f>ROUND(SUMIF(Tableau_REF_SMMS['#SM],Tableau_REF_Risques[[#This Row],['#SM]],Tableau_REF_SMMS[Couverture effective]),2)</f>
        <v>1</v>
      </c>
      <c r="P22" s="90" t="str">
        <f t="shared" si="1"/>
        <v>100%</v>
      </c>
      <c r="Q22" s="92">
        <f>ROUND(Tableau_REF_Risques[[#This Row],[Vraisemblance I]]*(1-Tableau_REF_Risques[[#This Row],[Tx couv]])+1,0)</f>
        <v>1</v>
      </c>
      <c r="R22" s="92">
        <f>IF(Tableau_REF_Risques[[#This Row],[Vraisemblance R]]*Tableau_REF_Risques[[#This Row],[Gravité]]&lt;=0,1,Tableau_REF_Risques[[#This Row],[Vraisemblance R]]*Tableau_REF_Risques[[#This Row],[Gravité]])</f>
        <v>3</v>
      </c>
      <c r="S22" s="92" t="str">
        <f>VLOOKUP(Tableau_REF_Risques[[#This Row],[NRR]],DATA_Listes!$A$93:$B$101,2,FALSE)</f>
        <v>Modéré</v>
      </c>
      <c r="T22" s="69" t="s">
        <v>113</v>
      </c>
      <c r="U22" s="69"/>
      <c r="V22" s="72"/>
    </row>
    <row r="23" spans="1:22" x14ac:dyDescent="0.2">
      <c r="A23" s="65" t="s">
        <v>405</v>
      </c>
      <c r="B23" s="69" t="s">
        <v>73</v>
      </c>
      <c r="C23" s="69" t="s">
        <v>231</v>
      </c>
      <c r="D23" s="111">
        <f>REF_ER!C$51</f>
        <v>3</v>
      </c>
      <c r="E23" s="111">
        <f>REF_ER!D$51</f>
        <v>4</v>
      </c>
      <c r="F23" s="111">
        <f>REF_ER!E$51</f>
        <v>4</v>
      </c>
      <c r="G23" s="111">
        <f>REF_ER!F$51</f>
        <v>3</v>
      </c>
      <c r="H23" s="70">
        <f t="shared" si="0"/>
        <v>4</v>
      </c>
      <c r="I23" s="87" t="s">
        <v>379</v>
      </c>
      <c r="J23" s="70">
        <f>MAX(Tableau_REF_Risques[[#This Row],[D]:[P]])</f>
        <v>4</v>
      </c>
      <c r="K23" s="70">
        <f>_xlfn.MAXIFS(Tableau_REF_SMSR[Vrais Retenue],Tableau_REF_SMSR['#SM],Tableau_REF_Risques[[#This Row],['#SM]])</f>
        <v>4</v>
      </c>
      <c r="L23" s="70">
        <f>Tableau_REF_Risques[[#This Row],[Gravité]]*Tableau_REF_Risques[[#This Row],[Vraisemblance I]]</f>
        <v>16</v>
      </c>
      <c r="M23" s="70" t="str">
        <f>VLOOKUP(Tableau_REF_Risques[[#This Row],[NRI]],DATA_Listes!$A$93:$B$101,2,FALSE)</f>
        <v>Critique</v>
      </c>
      <c r="N23" s="89">
        <f>SUMIF(Tableau_REF_SMMS['#SM],Tableau_REF_Risques[[#This Row],['#SM]],Tableau_REF_SMMS[Cout couverture])</f>
        <v>43441.923144575936</v>
      </c>
      <c r="O23" s="90">
        <f>ROUND(SUMIF(Tableau_REF_SMMS['#SM],Tableau_REF_Risques[[#This Row],['#SM]],Tableau_REF_SMMS[Couverture effective]),2)</f>
        <v>1</v>
      </c>
      <c r="P23" s="90" t="str">
        <f t="shared" si="1"/>
        <v>100%</v>
      </c>
      <c r="Q23" s="92">
        <f>ROUND(Tableau_REF_Risques[[#This Row],[Vraisemblance I]]*(1-Tableau_REF_Risques[[#This Row],[Tx couv]])+1,0)</f>
        <v>1</v>
      </c>
      <c r="R23" s="92">
        <f>IF(Tableau_REF_Risques[[#This Row],[Vraisemblance R]]*Tableau_REF_Risques[[#This Row],[Gravité]]&lt;=0,1,Tableau_REF_Risques[[#This Row],[Vraisemblance R]]*Tableau_REF_Risques[[#This Row],[Gravité]])</f>
        <v>4</v>
      </c>
      <c r="S23" s="92" t="str">
        <f>VLOOKUP(Tableau_REF_Risques[[#This Row],[NRR]],DATA_Listes!$A$93:$B$101,2,FALSE)</f>
        <v>Modéré</v>
      </c>
      <c r="T23" s="69" t="s">
        <v>113</v>
      </c>
      <c r="U23" s="69"/>
      <c r="V23" s="72"/>
    </row>
    <row r="24" spans="1:22" x14ac:dyDescent="0.2">
      <c r="A24" s="65" t="s">
        <v>406</v>
      </c>
      <c r="B24" s="69" t="s">
        <v>74</v>
      </c>
      <c r="C24" s="69" t="s">
        <v>232</v>
      </c>
      <c r="D24" s="111"/>
      <c r="E24" s="111"/>
      <c r="F24" s="111">
        <f>REF_ER!E$51</f>
        <v>4</v>
      </c>
      <c r="G24" s="111"/>
      <c r="H24" s="70">
        <f t="shared" si="0"/>
        <v>1</v>
      </c>
      <c r="I24" s="87" t="s">
        <v>187</v>
      </c>
      <c r="J24" s="70">
        <f>MAX(Tableau_REF_Risques[[#This Row],[D]:[P]])</f>
        <v>4</v>
      </c>
      <c r="K24" s="70">
        <f>_xlfn.MAXIFS(Tableau_REF_SMSR[Vrais Retenue],Tableau_REF_SMSR['#SM],Tableau_REF_Risques[[#This Row],['#SM]])</f>
        <v>4</v>
      </c>
      <c r="L24" s="70">
        <f>Tableau_REF_Risques[[#This Row],[Gravité]]*Tableau_REF_Risques[[#This Row],[Vraisemblance I]]</f>
        <v>16</v>
      </c>
      <c r="M24" s="70" t="str">
        <f>VLOOKUP(Tableau_REF_Risques[[#This Row],[NRI]],DATA_Listes!$A$93:$B$101,2,FALSE)</f>
        <v>Critique</v>
      </c>
      <c r="N24" s="89">
        <f>SUMIF(Tableau_REF_SMMS['#SM],Tableau_REF_Risques[[#This Row],['#SM]],Tableau_REF_SMMS[Cout couverture])</f>
        <v>84839.550320902679</v>
      </c>
      <c r="O24" s="90">
        <f>ROUND(SUMIF(Tableau_REF_SMMS['#SM],Tableau_REF_Risques[[#This Row],['#SM]],Tableau_REF_SMMS[Couverture effective]),2)</f>
        <v>1.17</v>
      </c>
      <c r="P24" s="90" t="str">
        <f t="shared" si="1"/>
        <v>&gt;100%</v>
      </c>
      <c r="Q24" s="92">
        <f>ROUND(Tableau_REF_Risques[[#This Row],[Vraisemblance I]]*(1-Tableau_REF_Risques[[#This Row],[Tx couv]])+1,0)</f>
        <v>0</v>
      </c>
      <c r="R24" s="92">
        <f>IF(Tableau_REF_Risques[[#This Row],[Vraisemblance R]]*Tableau_REF_Risques[[#This Row],[Gravité]]&lt;=0,1,Tableau_REF_Risques[[#This Row],[Vraisemblance R]]*Tableau_REF_Risques[[#This Row],[Gravité]])</f>
        <v>1</v>
      </c>
      <c r="S24" s="92" t="str">
        <f>VLOOKUP(Tableau_REF_Risques[[#This Row],[NRR]],DATA_Listes!$A$93:$B$101,2,FALSE)</f>
        <v>Faible</v>
      </c>
      <c r="T24" s="69" t="s">
        <v>113</v>
      </c>
      <c r="U24" s="69"/>
      <c r="V24" s="72"/>
    </row>
    <row r="25" spans="1:22" x14ac:dyDescent="0.2">
      <c r="A25" s="65" t="s">
        <v>407</v>
      </c>
      <c r="B25" s="69" t="s">
        <v>75</v>
      </c>
      <c r="C25" s="69" t="s">
        <v>233</v>
      </c>
      <c r="D25" s="112"/>
      <c r="E25" s="112"/>
      <c r="F25" s="112"/>
      <c r="G25" s="111">
        <f>REF_ER!F$51</f>
        <v>3</v>
      </c>
      <c r="H25" s="70">
        <f t="shared" si="0"/>
        <v>1</v>
      </c>
      <c r="I25" s="87" t="s">
        <v>188</v>
      </c>
      <c r="J25" s="70">
        <f>MAX(Tableau_REF_Risques[[#This Row],[D]:[P]])</f>
        <v>3</v>
      </c>
      <c r="K25" s="70">
        <f>_xlfn.MAXIFS(Tableau_REF_SMSR[Vrais Retenue],Tableau_REF_SMSR['#SM],Tableau_REF_Risques[[#This Row],['#SM]])</f>
        <v>2</v>
      </c>
      <c r="L25" s="70">
        <f>Tableau_REF_Risques[[#This Row],[Gravité]]*Tableau_REF_Risques[[#This Row],[Vraisemblance I]]</f>
        <v>6</v>
      </c>
      <c r="M25" s="70" t="str">
        <f>VLOOKUP(Tableau_REF_Risques[[#This Row],[NRI]],DATA_Listes!$A$93:$B$101,2,FALSE)</f>
        <v>Fort</v>
      </c>
      <c r="N25" s="89">
        <f>SUMIF(Tableau_REF_SMMS['#SM],Tableau_REF_Risques[[#This Row],['#SM]],Tableau_REF_SMMS[Cout couverture])</f>
        <v>62496.750364984306</v>
      </c>
      <c r="O25" s="90">
        <f>ROUND(SUMIF(Tableau_REF_SMMS['#SM],Tableau_REF_Risques[[#This Row],['#SM]],Tableau_REF_SMMS[Couverture effective]),2)</f>
        <v>1</v>
      </c>
      <c r="P25" s="90" t="str">
        <f t="shared" si="1"/>
        <v>100%</v>
      </c>
      <c r="Q25" s="92">
        <f>ROUND(Tableau_REF_Risques[[#This Row],[Vraisemblance I]]*(1-Tableau_REF_Risques[[#This Row],[Tx couv]])+1,0)</f>
        <v>1</v>
      </c>
      <c r="R25" s="92">
        <f>IF(Tableau_REF_Risques[[#This Row],[Vraisemblance R]]*Tableau_REF_Risques[[#This Row],[Gravité]]&lt;=0,1,Tableau_REF_Risques[[#This Row],[Vraisemblance R]]*Tableau_REF_Risques[[#This Row],[Gravité]])</f>
        <v>3</v>
      </c>
      <c r="S25" s="92" t="str">
        <f>VLOOKUP(Tableau_REF_Risques[[#This Row],[NRR]],DATA_Listes!$A$93:$B$101,2,FALSE)</f>
        <v>Modéré</v>
      </c>
      <c r="T25" s="74" t="s">
        <v>234</v>
      </c>
      <c r="U25" s="72"/>
      <c r="V25" s="72"/>
    </row>
    <row r="26" spans="1:22" x14ac:dyDescent="0.2">
      <c r="A26" s="65" t="s">
        <v>408</v>
      </c>
      <c r="B26" s="74" t="s">
        <v>76</v>
      </c>
      <c r="C26" s="74" t="s">
        <v>235</v>
      </c>
      <c r="D26" s="111">
        <f>REF_ER!C$51</f>
        <v>3</v>
      </c>
      <c r="E26" s="112"/>
      <c r="F26" s="111">
        <f>REF_ER!E$51</f>
        <v>4</v>
      </c>
      <c r="G26" s="112"/>
      <c r="H26" s="70">
        <f t="shared" si="0"/>
        <v>2</v>
      </c>
      <c r="I26" s="87" t="s">
        <v>187</v>
      </c>
      <c r="J26" s="70">
        <f>MAX(Tableau_REF_Risques[[#This Row],[D]:[P]])</f>
        <v>4</v>
      </c>
      <c r="K26" s="70">
        <f>_xlfn.MAXIFS(Tableau_REF_SMSR[Vrais Retenue],Tableau_REF_SMSR['#SM],Tableau_REF_Risques[[#This Row],['#SM]])</f>
        <v>4</v>
      </c>
      <c r="L26" s="70">
        <f>Tableau_REF_Risques[[#This Row],[Gravité]]*Tableau_REF_Risques[[#This Row],[Vraisemblance I]]</f>
        <v>16</v>
      </c>
      <c r="M26" s="70" t="str">
        <f>VLOOKUP(Tableau_REF_Risques[[#This Row],[NRI]],DATA_Listes!$A$93:$B$101,2,FALSE)</f>
        <v>Critique</v>
      </c>
      <c r="N26" s="89">
        <f>SUMIF(Tableau_REF_SMMS['#SM],Tableau_REF_Risques[[#This Row],['#SM]],Tableau_REF_SMMS[Cout couverture])</f>
        <v>117092.57264079335</v>
      </c>
      <c r="O26" s="90">
        <f>ROUND(SUMIF(Tableau_REF_SMMS['#SM],Tableau_REF_Risques[[#This Row],['#SM]],Tableau_REF_SMMS[Couverture effective]),2)</f>
        <v>1</v>
      </c>
      <c r="P26" s="90" t="str">
        <f t="shared" si="1"/>
        <v>100%</v>
      </c>
      <c r="Q26" s="92">
        <f>ROUND(Tableau_REF_Risques[[#This Row],[Vraisemblance I]]*(1-Tableau_REF_Risques[[#This Row],[Tx couv]])+1,0)</f>
        <v>1</v>
      </c>
      <c r="R26" s="92">
        <f>IF(Tableau_REF_Risques[[#This Row],[Vraisemblance R]]*Tableau_REF_Risques[[#This Row],[Gravité]]&lt;=0,1,Tableau_REF_Risques[[#This Row],[Vraisemblance R]]*Tableau_REF_Risques[[#This Row],[Gravité]])</f>
        <v>4</v>
      </c>
      <c r="S26" s="92" t="str">
        <f>VLOOKUP(Tableau_REF_Risques[[#This Row],[NRR]],DATA_Listes!$A$93:$B$101,2,FALSE)</f>
        <v>Modéré</v>
      </c>
      <c r="T26" s="74" t="s">
        <v>234</v>
      </c>
      <c r="U26" s="72"/>
      <c r="V26" s="72"/>
    </row>
    <row r="27" spans="1:22" x14ac:dyDescent="0.2">
      <c r="A27" s="65" t="s">
        <v>409</v>
      </c>
      <c r="B27" s="74" t="s">
        <v>77</v>
      </c>
      <c r="C27" s="74" t="s">
        <v>236</v>
      </c>
      <c r="D27" s="111">
        <f>REF_ER!C$51</f>
        <v>3</v>
      </c>
      <c r="E27" s="111">
        <f>REF_ER!D$51</f>
        <v>4</v>
      </c>
      <c r="F27" s="111">
        <f>REF_ER!E$51</f>
        <v>4</v>
      </c>
      <c r="G27" s="111">
        <f>REF_ER!F$51</f>
        <v>3</v>
      </c>
      <c r="H27" s="70">
        <f t="shared" si="0"/>
        <v>4</v>
      </c>
      <c r="I27" s="87" t="s">
        <v>379</v>
      </c>
      <c r="J27" s="70">
        <f>MAX(Tableau_REF_Risques[[#This Row],[D]:[P]])</f>
        <v>4</v>
      </c>
      <c r="K27" s="70">
        <f>_xlfn.MAXIFS(Tableau_REF_SMSR[Vrais Retenue],Tableau_REF_SMSR['#SM],Tableau_REF_Risques[[#This Row],['#SM]])</f>
        <v>2</v>
      </c>
      <c r="L27" s="70">
        <f>Tableau_REF_Risques[[#This Row],[Gravité]]*Tableau_REF_Risques[[#This Row],[Vraisemblance I]]</f>
        <v>8</v>
      </c>
      <c r="M27" s="70" t="str">
        <f>VLOOKUP(Tableau_REF_Risques[[#This Row],[NRI]],DATA_Listes!$A$93:$B$101,2,FALSE)</f>
        <v>Fort</v>
      </c>
      <c r="N27" s="89">
        <f>SUMIF(Tableau_REF_SMMS['#SM],Tableau_REF_Risques[[#This Row],['#SM]],Tableau_REF_SMMS[Cout couverture])</f>
        <v>103427.33220592352</v>
      </c>
      <c r="O27" s="90">
        <f>ROUND(SUMIF(Tableau_REF_SMMS['#SM],Tableau_REF_Risques[[#This Row],['#SM]],Tableau_REF_SMMS[Couverture effective]),2)</f>
        <v>1</v>
      </c>
      <c r="P27" s="90" t="str">
        <f t="shared" si="1"/>
        <v>100%</v>
      </c>
      <c r="Q27" s="92">
        <f>ROUND(Tableau_REF_Risques[[#This Row],[Vraisemblance I]]*(1-Tableau_REF_Risques[[#This Row],[Tx couv]])+1,0)</f>
        <v>1</v>
      </c>
      <c r="R27" s="92">
        <f>IF(Tableau_REF_Risques[[#This Row],[Vraisemblance R]]*Tableau_REF_Risques[[#This Row],[Gravité]]&lt;=0,1,Tableau_REF_Risques[[#This Row],[Vraisemblance R]]*Tableau_REF_Risques[[#This Row],[Gravité]])</f>
        <v>4</v>
      </c>
      <c r="S27" s="92" t="str">
        <f>VLOOKUP(Tableau_REF_Risques[[#This Row],[NRR]],DATA_Listes!$A$93:$B$101,2,FALSE)</f>
        <v>Modéré</v>
      </c>
      <c r="T27" s="74" t="s">
        <v>234</v>
      </c>
      <c r="U27" s="72"/>
      <c r="V27" s="72"/>
    </row>
    <row r="28" spans="1:22" x14ac:dyDescent="0.2">
      <c r="A28" s="65" t="s">
        <v>410</v>
      </c>
      <c r="B28" s="74" t="s">
        <v>78</v>
      </c>
      <c r="C28" s="74" t="s">
        <v>237</v>
      </c>
      <c r="D28" s="112"/>
      <c r="E28" s="112"/>
      <c r="F28" s="112"/>
      <c r="G28" s="111">
        <f>REF_ER!F$51</f>
        <v>3</v>
      </c>
      <c r="H28" s="70">
        <f t="shared" si="0"/>
        <v>1</v>
      </c>
      <c r="I28" s="87" t="s">
        <v>188</v>
      </c>
      <c r="J28" s="70">
        <f>MAX(Tableau_REF_Risques[[#This Row],[D]:[P]])</f>
        <v>3</v>
      </c>
      <c r="K28" s="70">
        <f>_xlfn.MAXIFS(Tableau_REF_SMSR[Vrais Retenue],Tableau_REF_SMSR['#SM],Tableau_REF_Risques[[#This Row],['#SM]])</f>
        <v>2</v>
      </c>
      <c r="L28" s="70">
        <f>Tableau_REF_Risques[[#This Row],[Gravité]]*Tableau_REF_Risques[[#This Row],[Vraisemblance I]]</f>
        <v>6</v>
      </c>
      <c r="M28" s="70" t="str">
        <f>VLOOKUP(Tableau_REF_Risques[[#This Row],[NRI]],DATA_Listes!$A$93:$B$101,2,FALSE)</f>
        <v>Fort</v>
      </c>
      <c r="N28" s="89">
        <f>SUMIF(Tableau_REF_SMMS['#SM],Tableau_REF_Risques[[#This Row],['#SM]],Tableau_REF_SMMS[Cout couverture])</f>
        <v>33256.827118618443</v>
      </c>
      <c r="O28" s="90">
        <f>ROUND(SUMIF(Tableau_REF_SMMS['#SM],Tableau_REF_Risques[[#This Row],['#SM]],Tableau_REF_SMMS[Couverture effective]),2)</f>
        <v>1</v>
      </c>
      <c r="P28" s="90" t="str">
        <f t="shared" si="1"/>
        <v>100%</v>
      </c>
      <c r="Q28" s="92">
        <f>ROUND(Tableau_REF_Risques[[#This Row],[Vraisemblance I]]*(1-Tableau_REF_Risques[[#This Row],[Tx couv]])+1,0)</f>
        <v>1</v>
      </c>
      <c r="R28" s="92">
        <f>IF(Tableau_REF_Risques[[#This Row],[Vraisemblance R]]*Tableau_REF_Risques[[#This Row],[Gravité]]&lt;=0,1,Tableau_REF_Risques[[#This Row],[Vraisemblance R]]*Tableau_REF_Risques[[#This Row],[Gravité]])</f>
        <v>3</v>
      </c>
      <c r="S28" s="92" t="str">
        <f>VLOOKUP(Tableau_REF_Risques[[#This Row],[NRR]],DATA_Listes!$A$93:$B$101,2,FALSE)</f>
        <v>Modéré</v>
      </c>
      <c r="T28" s="74" t="s">
        <v>234</v>
      </c>
      <c r="U28" s="72"/>
      <c r="V28" s="72"/>
    </row>
  </sheetData>
  <phoneticPr fontId="1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Q37"/>
  <sheetViews>
    <sheetView workbookViewId="0">
      <selection activeCell="F2" sqref="F2"/>
    </sheetView>
  </sheetViews>
  <sheetFormatPr baseColWidth="10" defaultColWidth="14.42578125" defaultRowHeight="15.75" customHeight="1" x14ac:dyDescent="0.2"/>
  <cols>
    <col min="1" max="1" width="12.85546875" style="65" customWidth="1"/>
    <col min="2" max="2" width="58.7109375" style="65" customWidth="1"/>
    <col min="3" max="3" width="11" style="65" customWidth="1"/>
    <col min="4" max="6" width="14.42578125" style="69"/>
    <col min="7" max="7" width="10.28515625" style="65" customWidth="1"/>
    <col min="8" max="12" width="14.42578125" style="65"/>
    <col min="13" max="13" width="16.7109375" style="65" customWidth="1"/>
    <col min="14" max="14" width="17.5703125" style="65" customWidth="1"/>
    <col min="15" max="15" width="16.42578125" style="65" customWidth="1"/>
    <col min="16" max="16" width="17.28515625" style="65" customWidth="1"/>
    <col min="17" max="16384" width="14.42578125" style="65"/>
  </cols>
  <sheetData>
    <row r="1" spans="1:17" ht="15.75" customHeight="1" x14ac:dyDescent="0.2">
      <c r="A1" s="65" t="s">
        <v>365</v>
      </c>
      <c r="B1" s="65" t="s">
        <v>366</v>
      </c>
      <c r="C1" s="65" t="s">
        <v>240</v>
      </c>
      <c r="D1" s="69" t="s">
        <v>363</v>
      </c>
      <c r="E1" s="69" t="s">
        <v>364</v>
      </c>
      <c r="F1" s="69" t="s">
        <v>451</v>
      </c>
      <c r="G1" s="77" t="s">
        <v>369</v>
      </c>
      <c r="H1" s="77" t="s">
        <v>368</v>
      </c>
      <c r="L1" s="147" t="s">
        <v>365</v>
      </c>
      <c r="M1" s="147" t="s">
        <v>440</v>
      </c>
      <c r="N1" s="149" t="s">
        <v>441</v>
      </c>
      <c r="O1" s="147" t="s">
        <v>442</v>
      </c>
      <c r="P1" s="149" t="s">
        <v>443</v>
      </c>
      <c r="Q1" s="149" t="s">
        <v>444</v>
      </c>
    </row>
    <row r="2" spans="1:17" ht="15.75" customHeight="1" x14ac:dyDescent="0.2">
      <c r="A2" s="65" t="s">
        <v>241</v>
      </c>
      <c r="B2" s="75" t="s">
        <v>242</v>
      </c>
      <c r="C2" s="75" t="str">
        <f>IF('INPUT_Mesures Actuelles'!$B$5=DATA_Listes!$A$41,"OUI","NON")</f>
        <v>NON</v>
      </c>
      <c r="D2" s="76">
        <f>COUNTIF(Tableau_REF_SMMS['#MS],Tableau_REF_Mesures[[#This Row],['#MS]])</f>
        <v>7</v>
      </c>
      <c r="E2" s="76">
        <f>IF(Tableau_REF_Mesures[[#This Row],[Applicabilité]]="OUI",COUNTIF(Tableau_REF_SMMS['#MS],Tableau_REF_Mesures[[#This Row],['#MS]]),0)</f>
        <v>0</v>
      </c>
      <c r="F2" s="153">
        <f>SUMIF(Tableau_REF_SMMS['#MS],A2,Tableau_REF_SMMS[Couverture effective])</f>
        <v>0</v>
      </c>
      <c r="G2" s="78">
        <f>IF($C$2="OUI",'INPUT_Mesures Actuelles'!$B$9,0)</f>
        <v>0</v>
      </c>
      <c r="H2" s="79">
        <f>Tableau_REF_Mesures[[#This Row],[TCO ke]]*1000</f>
        <v>0</v>
      </c>
      <c r="L2" s="149" t="s">
        <v>249</v>
      </c>
      <c r="M2" s="150">
        <v>0.8</v>
      </c>
      <c r="N2" s="150">
        <v>0.8</v>
      </c>
      <c r="O2" s="152">
        <f>IF($C$3="OUI",M2,0)</f>
        <v>0</v>
      </c>
      <c r="P2" s="152">
        <f>IF($C$4="OUI",N2,0)</f>
        <v>0.8</v>
      </c>
      <c r="Q2" s="65">
        <f>O2+P2</f>
        <v>0.8</v>
      </c>
    </row>
    <row r="3" spans="1:17" ht="15.75" customHeight="1" x14ac:dyDescent="0.2">
      <c r="A3" s="65" t="s">
        <v>243</v>
      </c>
      <c r="B3" s="75" t="s">
        <v>244</v>
      </c>
      <c r="C3" s="75" t="str">
        <f>IF('INPUT_Mesures Actuelles'!$B$5=DATA_Listes!$A$42,"OUI","NON")</f>
        <v>NON</v>
      </c>
      <c r="D3" s="76">
        <f>COUNTIF(Tableau_REF_SMMS['#MS],Tableau_REF_Mesures[[#This Row],['#MS]])</f>
        <v>8</v>
      </c>
      <c r="E3" s="76">
        <f>IF(Tableau_REF_Mesures[[#This Row],[Applicabilité]]="OUI",COUNTIF(Tableau_REF_SMMS['#MS],Tableau_REF_Mesures[[#This Row],['#MS]]),0)</f>
        <v>0</v>
      </c>
      <c r="F3" s="153">
        <f>SUMIF(Tableau_REF_SMMS['#MS],A3,Tableau_REF_SMMS[Couverture effective])</f>
        <v>0</v>
      </c>
      <c r="G3" s="78">
        <f>IF($C$2="OUI",'INPUT_Mesures Actuelles'!$B$9,0)</f>
        <v>0</v>
      </c>
      <c r="H3" s="79">
        <f>Tableau_REF_Mesures[[#This Row],[TCO ke]]*1000</f>
        <v>0</v>
      </c>
      <c r="L3" s="149" t="s">
        <v>250</v>
      </c>
      <c r="M3" s="150">
        <v>1</v>
      </c>
      <c r="N3" s="150">
        <v>1</v>
      </c>
      <c r="O3" s="152">
        <f t="shared" ref="O3:O11" si="0">IF($C$3="OUI",M3,0)</f>
        <v>0</v>
      </c>
      <c r="P3" s="152">
        <f t="shared" ref="P3:P11" si="1">IF($C$4="OUI",N3,0)</f>
        <v>1</v>
      </c>
      <c r="Q3" s="65">
        <f t="shared" ref="Q3:Q11" si="2">O3+P3</f>
        <v>1</v>
      </c>
    </row>
    <row r="4" spans="1:17" ht="15.75" customHeight="1" x14ac:dyDescent="0.2">
      <c r="A4" s="65" t="s">
        <v>245</v>
      </c>
      <c r="B4" s="75" t="s">
        <v>246</v>
      </c>
      <c r="C4" s="75" t="str">
        <f>IF('INPUT_Mesures Actuelles'!$B$5=DATA_Listes!$A$43,"OUI","NON")</f>
        <v>OUI</v>
      </c>
      <c r="D4" s="76">
        <f>COUNTIF(Tableau_REF_SMMS['#MS],Tableau_REF_Mesures[[#This Row],['#MS]])</f>
        <v>8</v>
      </c>
      <c r="E4" s="76">
        <f>IF(Tableau_REF_Mesures[[#This Row],[Applicabilité]]="OUI",COUNTIF(Tableau_REF_SMMS['#MS],Tableau_REF_Mesures[[#This Row],['#MS]]),0)</f>
        <v>8</v>
      </c>
      <c r="F4" s="153">
        <f>SUMIF(Tableau_REF_SMMS['#MS],A4,Tableau_REF_SMMS[Couverture effective])</f>
        <v>1.5306171449090784</v>
      </c>
      <c r="G4" s="78">
        <f>IF(C4="OUI",'INPUT_Mesures Actuelles'!$B$9,0)</f>
        <v>20</v>
      </c>
      <c r="H4" s="79">
        <f>Tableau_REF_Mesures[[#This Row],[TCO ke]]*1000</f>
        <v>20000</v>
      </c>
      <c r="L4" s="149" t="s">
        <v>252</v>
      </c>
      <c r="M4" s="150">
        <v>0.7</v>
      </c>
      <c r="N4" s="150">
        <v>1</v>
      </c>
      <c r="O4" s="152">
        <f t="shared" si="0"/>
        <v>0</v>
      </c>
      <c r="P4" s="152">
        <f t="shared" si="1"/>
        <v>1</v>
      </c>
      <c r="Q4" s="65">
        <f t="shared" si="2"/>
        <v>1</v>
      </c>
    </row>
    <row r="5" spans="1:17" ht="15.75" customHeight="1" x14ac:dyDescent="0.2">
      <c r="A5" s="65" t="s">
        <v>247</v>
      </c>
      <c r="B5" s="75" t="s">
        <v>128</v>
      </c>
      <c r="C5" s="75" t="str">
        <f>'INPUT_Mesures Actuelles'!$B$12</f>
        <v>OUI</v>
      </c>
      <c r="D5" s="76">
        <f>COUNTIF(Tableau_REF_SMMS['#MS],Tableau_REF_Mesures[[#This Row],['#MS]])</f>
        <v>1</v>
      </c>
      <c r="E5" s="76">
        <f>IF(Tableau_REF_Mesures[[#This Row],[Applicabilité]]="OUI",COUNTIF(Tableau_REF_SMMS['#MS],Tableau_REF_Mesures[[#This Row],['#MS]]),0)</f>
        <v>1</v>
      </c>
      <c r="F5" s="153">
        <f>SUMIF(Tableau_REF_SMMS['#MS],A5,Tableau_REF_SMMS[Couverture effective])</f>
        <v>0.24</v>
      </c>
      <c r="G5" s="78">
        <f>IF(C5="OUI",'INPUT_Mesures Actuelles'!$B$15,0)</f>
        <v>90</v>
      </c>
      <c r="H5" s="79">
        <f>Tableau_REF_Mesures[[#This Row],[TCO ke]]*1000</f>
        <v>90000</v>
      </c>
      <c r="L5" s="148" t="s">
        <v>254</v>
      </c>
      <c r="M5" s="150">
        <v>0</v>
      </c>
      <c r="N5" s="150">
        <v>0.9</v>
      </c>
      <c r="O5" s="152">
        <f t="shared" si="0"/>
        <v>0</v>
      </c>
      <c r="P5" s="152">
        <f t="shared" si="1"/>
        <v>0.9</v>
      </c>
      <c r="Q5" s="65">
        <f t="shared" si="2"/>
        <v>0.9</v>
      </c>
    </row>
    <row r="6" spans="1:17" ht="15.75" customHeight="1" x14ac:dyDescent="0.2">
      <c r="A6" s="65" t="s">
        <v>248</v>
      </c>
      <c r="B6" s="75" t="s">
        <v>130</v>
      </c>
      <c r="C6" s="75" t="str">
        <f>'INPUT_Mesures Actuelles'!$B$18</f>
        <v>NON</v>
      </c>
      <c r="D6" s="76">
        <f>COUNTIF(Tableau_REF_SMMS['#MS],Tableau_REF_Mesures[[#This Row],['#MS]])</f>
        <v>2</v>
      </c>
      <c r="E6" s="76">
        <f>IF(Tableau_REF_Mesures[[#This Row],[Applicabilité]]="OUI",COUNTIF(Tableau_REF_SMMS['#MS],Tableau_REF_Mesures[[#This Row],['#MS]]),0)</f>
        <v>0</v>
      </c>
      <c r="F6" s="153">
        <f>SUMIF(Tableau_REF_SMMS['#MS],A6,Tableau_REF_SMMS[Couverture effective])</f>
        <v>0</v>
      </c>
      <c r="G6" s="78">
        <f>IF(C6="OUI",'INPUT_Mesures Actuelles'!$B$21,0)</f>
        <v>0</v>
      </c>
      <c r="H6" s="79">
        <f>Tableau_REF_Mesures[[#This Row],[TCO ke]]*1000</f>
        <v>0</v>
      </c>
      <c r="L6" s="149" t="s">
        <v>256</v>
      </c>
      <c r="M6" s="150">
        <v>0.9</v>
      </c>
      <c r="N6" s="150">
        <v>0.9</v>
      </c>
      <c r="O6" s="152">
        <f t="shared" si="0"/>
        <v>0</v>
      </c>
      <c r="P6" s="152">
        <f t="shared" si="1"/>
        <v>0.9</v>
      </c>
      <c r="Q6" s="65">
        <f t="shared" si="2"/>
        <v>0.9</v>
      </c>
    </row>
    <row r="7" spans="1:17" ht="15.75" customHeight="1" x14ac:dyDescent="0.2">
      <c r="A7" s="65" t="s">
        <v>249</v>
      </c>
      <c r="B7" s="75" t="s">
        <v>131</v>
      </c>
      <c r="C7" s="75" t="str">
        <f>'INPUT_Mesures Actuelles'!$B$24</f>
        <v>OUI</v>
      </c>
      <c r="D7" s="76">
        <f>COUNTIF(Tableau_REF_SMMS['#MS],Tableau_REF_Mesures[[#This Row],['#MS]])</f>
        <v>4</v>
      </c>
      <c r="E7" s="76">
        <f>IF(Tableau_REF_Mesures[[#This Row],[Applicabilité]]="OUI",COUNTIF(Tableau_REF_SMMS['#MS],Tableau_REF_Mesures[[#This Row],['#MS]]),0)</f>
        <v>4</v>
      </c>
      <c r="F7" s="153">
        <f>SUMIF(Tableau_REF_SMMS['#MS],A7,Tableau_REF_SMMS[Couverture effective])</f>
        <v>0.41591430655376072</v>
      </c>
      <c r="G7" s="78">
        <f>IF(C7="OUI",'INPUT_Mesures Actuelles'!$B$27,0)</f>
        <v>87</v>
      </c>
      <c r="H7" s="79">
        <f>Tableau_REF_Mesures[[#This Row],[TCO ke]]*1000</f>
        <v>87000</v>
      </c>
      <c r="L7" s="149" t="s">
        <v>258</v>
      </c>
      <c r="M7" s="150">
        <v>0.6</v>
      </c>
      <c r="N7" s="150">
        <v>0.7</v>
      </c>
      <c r="O7" s="152">
        <f t="shared" si="0"/>
        <v>0</v>
      </c>
      <c r="P7" s="152">
        <f t="shared" si="1"/>
        <v>0.7</v>
      </c>
      <c r="Q7" s="65">
        <f t="shared" si="2"/>
        <v>0.7</v>
      </c>
    </row>
    <row r="8" spans="1:17" ht="15.75" customHeight="1" x14ac:dyDescent="0.2">
      <c r="A8" s="65" t="s">
        <v>250</v>
      </c>
      <c r="B8" s="75" t="s">
        <v>251</v>
      </c>
      <c r="C8" s="75" t="str">
        <f>IF('INPUT_Mesures Actuelles'!$B$30=DATA_Listes!$A$53,"OUI","NON")</f>
        <v>NON</v>
      </c>
      <c r="D8" s="76">
        <f>COUNTIF(Tableau_REF_SMMS['#MS],Tableau_REF_Mesures[[#This Row],['#MS]])</f>
        <v>4</v>
      </c>
      <c r="E8" s="76">
        <f>IF(Tableau_REF_Mesures[[#This Row],[Applicabilité]]="OUI",COUNTIF(Tableau_REF_SMMS['#MS],Tableau_REF_Mesures[[#This Row],['#MS]]),0)</f>
        <v>0</v>
      </c>
      <c r="F8" s="153">
        <f>SUMIF(Tableau_REF_SMMS['#MS],A8,Tableau_REF_SMMS[Couverture effective])</f>
        <v>0</v>
      </c>
      <c r="G8" s="78">
        <f>IF(C8="OUI",'INPUT_Mesures Actuelles'!$B$33,0)</f>
        <v>0</v>
      </c>
      <c r="H8" s="79">
        <f>Tableau_REF_Mesures[[#This Row],[TCO ke]]*1000</f>
        <v>0</v>
      </c>
      <c r="L8" s="149" t="s">
        <v>260</v>
      </c>
      <c r="M8" s="150">
        <v>0.1</v>
      </c>
      <c r="N8" s="150">
        <v>0.3</v>
      </c>
      <c r="O8" s="152">
        <f t="shared" si="0"/>
        <v>0</v>
      </c>
      <c r="P8" s="152">
        <f t="shared" si="1"/>
        <v>0.3</v>
      </c>
      <c r="Q8" s="65">
        <f t="shared" si="2"/>
        <v>0.3</v>
      </c>
    </row>
    <row r="9" spans="1:17" ht="15.75" customHeight="1" x14ac:dyDescent="0.2">
      <c r="A9" s="65" t="s">
        <v>252</v>
      </c>
      <c r="B9" s="75" t="s">
        <v>253</v>
      </c>
      <c r="C9" s="75" t="str">
        <f>IF('INPUT_Mesures Actuelles'!$B$30=DATA_Listes!$A$54,"OUI","NON")</f>
        <v>OUI</v>
      </c>
      <c r="D9" s="76">
        <f>COUNTIF(Tableau_REF_SMMS['#MS],Tableau_REF_Mesures[[#This Row],['#MS]])</f>
        <v>4</v>
      </c>
      <c r="E9" s="76">
        <f>IF(Tableau_REF_Mesures[[#This Row],[Applicabilité]]="OUI",COUNTIF(Tableau_REF_SMMS['#MS],Tableau_REF_Mesures[[#This Row],['#MS]]),0)</f>
        <v>4</v>
      </c>
      <c r="F9" s="153">
        <f>SUMIF(Tableau_REF_SMMS['#MS],A9,Tableau_REF_SMMS[Couverture effective])</f>
        <v>0.9685090233759942</v>
      </c>
      <c r="G9" s="78">
        <f>IF(C9="OUI",'INPUT_Mesures Actuelles'!$B$33,0)</f>
        <v>20</v>
      </c>
      <c r="H9" s="79">
        <f>Tableau_REF_Mesures[[#This Row],[TCO ke]]*1000</f>
        <v>20000</v>
      </c>
      <c r="L9" s="148" t="s">
        <v>262</v>
      </c>
      <c r="M9" s="150">
        <v>0.8</v>
      </c>
      <c r="N9" s="150">
        <v>0.8</v>
      </c>
      <c r="O9" s="152">
        <f t="shared" si="0"/>
        <v>0</v>
      </c>
      <c r="P9" s="152">
        <f t="shared" si="1"/>
        <v>0.8</v>
      </c>
      <c r="Q9" s="65">
        <f t="shared" si="2"/>
        <v>0.8</v>
      </c>
    </row>
    <row r="10" spans="1:17" ht="15.75" customHeight="1" x14ac:dyDescent="0.2">
      <c r="A10" s="65" t="s">
        <v>254</v>
      </c>
      <c r="B10" s="75" t="s">
        <v>255</v>
      </c>
      <c r="C10" s="75" t="str">
        <f>IF('INPUT_Mesures Actuelles'!$B$30=DATA_Listes!$A$55,"OUI","NON")</f>
        <v>NON</v>
      </c>
      <c r="D10" s="76">
        <f>COUNTIF(Tableau_REF_SMMS['#MS],Tableau_REF_Mesures[[#This Row],['#MS]])</f>
        <v>4</v>
      </c>
      <c r="E10" s="76">
        <f>IF(Tableau_REF_Mesures[[#This Row],[Applicabilité]]="OUI",COUNTIF(Tableau_REF_SMMS['#MS],Tableau_REF_Mesures[[#This Row],['#MS]]),0)</f>
        <v>0</v>
      </c>
      <c r="F10" s="153">
        <f>SUMIF(Tableau_REF_SMMS['#MS],A10,Tableau_REF_SMMS[Couverture effective])</f>
        <v>0</v>
      </c>
      <c r="G10" s="78">
        <f>IF(C10="OUI",'INPUT_Mesures Actuelles'!$B$33,0)</f>
        <v>0</v>
      </c>
      <c r="H10" s="79">
        <f>Tableau_REF_Mesures[[#This Row],[TCO ke]]*1000</f>
        <v>0</v>
      </c>
      <c r="L10" s="149" t="s">
        <v>267</v>
      </c>
      <c r="M10" s="150">
        <v>0.5</v>
      </c>
      <c r="N10" s="150">
        <v>0.7</v>
      </c>
      <c r="O10" s="152">
        <f t="shared" si="0"/>
        <v>0</v>
      </c>
      <c r="P10" s="152">
        <f t="shared" si="1"/>
        <v>0.7</v>
      </c>
      <c r="Q10" s="65">
        <f t="shared" si="2"/>
        <v>0.7</v>
      </c>
    </row>
    <row r="11" spans="1:17" ht="15.75" customHeight="1" x14ac:dyDescent="0.2">
      <c r="A11" s="65" t="s">
        <v>256</v>
      </c>
      <c r="B11" s="75" t="s">
        <v>257</v>
      </c>
      <c r="C11" s="75" t="str">
        <f>IF('INPUT_Mesures Actuelles'!$B$36=DATA_Listes!$A$59,"OUI","NON")</f>
        <v>NON</v>
      </c>
      <c r="D11" s="76">
        <f>COUNTIF(Tableau_REF_SMMS['#MS],Tableau_REF_Mesures[[#This Row],['#MS]])</f>
        <v>1</v>
      </c>
      <c r="E11" s="76">
        <f>IF(Tableau_REF_Mesures[[#This Row],[Applicabilité]]="OUI",COUNTIF(Tableau_REF_SMMS['#MS],Tableau_REF_Mesures[[#This Row],['#MS]]),0)</f>
        <v>0</v>
      </c>
      <c r="F11" s="153">
        <f>SUMIF(Tableau_REF_SMMS['#MS],A11,Tableau_REF_SMMS[Couverture effective])</f>
        <v>0</v>
      </c>
      <c r="G11" s="78">
        <f>IF(C11="OUI",'INPUT_Mesures Actuelles'!$B$39,0)</f>
        <v>0</v>
      </c>
      <c r="H11" s="79">
        <f>Tableau_REF_Mesures[[#This Row],[TCO ke]]*1000</f>
        <v>0</v>
      </c>
      <c r="L11" s="149" t="s">
        <v>269</v>
      </c>
      <c r="M11" s="150">
        <v>0.15</v>
      </c>
      <c r="N11" s="150">
        <v>0.5</v>
      </c>
      <c r="O11" s="152">
        <f t="shared" si="0"/>
        <v>0</v>
      </c>
      <c r="P11" s="152">
        <f t="shared" si="1"/>
        <v>0.5</v>
      </c>
      <c r="Q11" s="65">
        <f t="shared" si="2"/>
        <v>0.5</v>
      </c>
    </row>
    <row r="12" spans="1:17" ht="15.75" customHeight="1" x14ac:dyDescent="0.2">
      <c r="A12" s="65" t="s">
        <v>258</v>
      </c>
      <c r="B12" s="75" t="s">
        <v>259</v>
      </c>
      <c r="C12" s="75" t="str">
        <f>IF('INPUT_Mesures Actuelles'!$B$36=DATA_Listes!$A$60,"OUI","NON")</f>
        <v>OUI</v>
      </c>
      <c r="D12" s="76">
        <f>COUNTIF(Tableau_REF_SMMS['#MS],Tableau_REF_Mesures[[#This Row],['#MS]])</f>
        <v>3</v>
      </c>
      <c r="E12" s="76">
        <f>IF(Tableau_REF_Mesures[[#This Row],[Applicabilité]]="OUI",COUNTIF(Tableau_REF_SMMS['#MS],Tableau_REF_Mesures[[#This Row],['#MS]]),0)</f>
        <v>3</v>
      </c>
      <c r="F12" s="153">
        <f>SUMIF(Tableau_REF_SMMS['#MS],A12,Tableau_REF_SMMS[Couverture effective])</f>
        <v>0.39496022727272723</v>
      </c>
      <c r="G12" s="78">
        <f>IF(C12="OUI",'INPUT_Mesures Actuelles'!$B$39,0)</f>
        <v>40</v>
      </c>
      <c r="H12" s="79">
        <f>Tableau_REF_Mesures[[#This Row],[TCO ke]]*1000</f>
        <v>40000</v>
      </c>
      <c r="L12" s="148"/>
      <c r="M12" s="148"/>
      <c r="N12" s="148"/>
      <c r="O12" s="150"/>
      <c r="P12" s="152"/>
    </row>
    <row r="13" spans="1:17" ht="15.75" customHeight="1" x14ac:dyDescent="0.2">
      <c r="A13" s="65" t="s">
        <v>260</v>
      </c>
      <c r="B13" s="75" t="s">
        <v>261</v>
      </c>
      <c r="C13" s="75" t="str">
        <f>IF('INPUT_Mesures Actuelles'!$B$36=DATA_Listes!$A$61,"OUI","NON")</f>
        <v>NON</v>
      </c>
      <c r="D13" s="76">
        <f>COUNTIF(Tableau_REF_SMMS['#MS],Tableau_REF_Mesures[[#This Row],['#MS]])</f>
        <v>3</v>
      </c>
      <c r="E13" s="76">
        <f>IF(Tableau_REF_Mesures[[#This Row],[Applicabilité]]="OUI",COUNTIF(Tableau_REF_SMMS['#MS],Tableau_REF_Mesures[[#This Row],['#MS]]),0)</f>
        <v>0</v>
      </c>
      <c r="F13" s="153">
        <f>SUMIF(Tableau_REF_SMMS['#MS],A13,Tableau_REF_SMMS[Couverture effective])</f>
        <v>0</v>
      </c>
      <c r="G13" s="78">
        <f>IF(C13="OUI",'INPUT_Mesures Actuelles'!$B$39,0)</f>
        <v>0</v>
      </c>
      <c r="H13" s="79">
        <f>Tableau_REF_Mesures[[#This Row],[TCO ke]]*1000</f>
        <v>0</v>
      </c>
      <c r="L13" s="148"/>
      <c r="M13" s="148"/>
      <c r="N13" s="148"/>
      <c r="O13" s="150"/>
      <c r="P13" s="152"/>
    </row>
    <row r="14" spans="1:17" ht="15.75" customHeight="1" x14ac:dyDescent="0.2">
      <c r="A14" s="65" t="s">
        <v>262</v>
      </c>
      <c r="B14" s="75" t="s">
        <v>136</v>
      </c>
      <c r="C14" s="75" t="str">
        <f>'INPUT_Mesures Actuelles'!$B$42</f>
        <v>OUI</v>
      </c>
      <c r="D14" s="76">
        <f>COUNTIF(Tableau_REF_SMMS['#MS],Tableau_REF_Mesures[[#This Row],['#MS]])</f>
        <v>10</v>
      </c>
      <c r="E14" s="76">
        <f>IF(Tableau_REF_Mesures[[#This Row],[Applicabilité]]="OUI",COUNTIF(Tableau_REF_SMMS['#MS],Tableau_REF_Mesures[[#This Row],['#MS]]),0)</f>
        <v>10</v>
      </c>
      <c r="F14" s="153">
        <f>SUMIF(Tableau_REF_SMMS['#MS],A14,Tableau_REF_SMMS[Couverture effective])</f>
        <v>1.8864444062882599</v>
      </c>
      <c r="G14" s="78">
        <f>IF(C14="OUI",'INPUT_Mesures Actuelles'!$B$45,0)</f>
        <v>44</v>
      </c>
      <c r="H14" s="79">
        <f>Tableau_REF_Mesures[[#This Row],[TCO ke]]*1000</f>
        <v>44000</v>
      </c>
      <c r="L14" s="148"/>
      <c r="M14" s="148"/>
      <c r="N14" s="148"/>
      <c r="O14" s="150"/>
      <c r="P14" s="152"/>
    </row>
    <row r="15" spans="1:17" ht="15.75" customHeight="1" x14ac:dyDescent="0.2">
      <c r="A15" s="65" t="s">
        <v>263</v>
      </c>
      <c r="B15" s="75" t="s">
        <v>137</v>
      </c>
      <c r="C15" s="75" t="str">
        <f>'INPUT_Mesures Actuelles'!$B$48</f>
        <v>OUI</v>
      </c>
      <c r="D15" s="76">
        <f>COUNTIF(Tableau_REF_SMMS['#MS],Tableau_REF_Mesures[[#This Row],['#MS]])</f>
        <v>1</v>
      </c>
      <c r="E15" s="76">
        <f>IF(Tableau_REF_Mesures[[#This Row],[Applicabilité]]="OUI",COUNTIF(Tableau_REF_SMMS['#MS],Tableau_REF_Mesures[[#This Row],['#MS]]),0)</f>
        <v>1</v>
      </c>
      <c r="F15" s="153">
        <f>SUMIF(Tableau_REF_SMMS['#MS],A15,Tableau_REF_SMMS[Couverture effective])</f>
        <v>0.17948717948717949</v>
      </c>
      <c r="G15" s="78">
        <f>IF(C15="OUI",'INPUT_Mesures Actuelles'!$B$51,0)</f>
        <v>56</v>
      </c>
      <c r="H15" s="79">
        <f>Tableau_REF_Mesures[[#This Row],[TCO ke]]*1000</f>
        <v>56000</v>
      </c>
      <c r="L15" s="148"/>
      <c r="M15" s="148"/>
      <c r="N15" s="148"/>
      <c r="O15" s="150"/>
      <c r="P15" s="152"/>
    </row>
    <row r="16" spans="1:17" ht="15.75" customHeight="1" x14ac:dyDescent="0.2">
      <c r="A16" s="65" t="s">
        <v>264</v>
      </c>
      <c r="B16" s="75" t="s">
        <v>139</v>
      </c>
      <c r="C16" s="75" t="str">
        <f>'INPUT_Mesures Actuelles'!$B$54</f>
        <v>OUI</v>
      </c>
      <c r="D16" s="76">
        <f>COUNTIF(Tableau_REF_SMMS['#MS],Tableau_REF_Mesures[[#This Row],['#MS]])</f>
        <v>4</v>
      </c>
      <c r="E16" s="76">
        <f>IF(Tableau_REF_Mesures[[#This Row],[Applicabilité]]="OUI",COUNTIF(Tableau_REF_SMMS['#MS],Tableau_REF_Mesures[[#This Row],['#MS]]),0)</f>
        <v>4</v>
      </c>
      <c r="F16" s="153">
        <f>SUMIF(Tableau_REF_SMMS['#MS],A16,Tableau_REF_SMMS[Couverture effective])</f>
        <v>0.73886217948717947</v>
      </c>
      <c r="G16" s="78">
        <f>IF(C16="OUI",'INPUT_Mesures Actuelles'!$B$57,0)</f>
        <v>43</v>
      </c>
      <c r="H16" s="79">
        <f>Tableau_REF_Mesures[[#This Row],[TCO ke]]*1000</f>
        <v>43000</v>
      </c>
      <c r="L16" s="148"/>
      <c r="M16" s="148"/>
      <c r="N16" s="148"/>
      <c r="O16" s="150"/>
      <c r="P16" s="152"/>
    </row>
    <row r="17" spans="1:16" ht="15.75" customHeight="1" x14ac:dyDescent="0.2">
      <c r="A17" s="65" t="s">
        <v>265</v>
      </c>
      <c r="B17" s="75" t="s">
        <v>141</v>
      </c>
      <c r="C17" s="75" t="str">
        <f>'INPUT_Mesures Actuelles'!$B$60</f>
        <v>OUI</v>
      </c>
      <c r="D17" s="76">
        <f>COUNTIF(Tableau_REF_SMMS['#MS],Tableau_REF_Mesures[[#This Row],['#MS]])</f>
        <v>4</v>
      </c>
      <c r="E17" s="76">
        <f>IF(Tableau_REF_Mesures[[#This Row],[Applicabilité]]="OUI",COUNTIF(Tableau_REF_SMMS['#MS],Tableau_REF_Mesures[[#This Row],['#MS]]),0)</f>
        <v>4</v>
      </c>
      <c r="F17" s="153">
        <f>SUMIF(Tableau_REF_SMMS['#MS],A17,Tableau_REF_SMMS[Couverture effective])</f>
        <v>0.49663271511097595</v>
      </c>
      <c r="G17" s="78">
        <f>IF(C17="OUI",'INPUT_Mesures Actuelles'!$B$63,0)</f>
        <v>23</v>
      </c>
      <c r="H17" s="79">
        <f>Tableau_REF_Mesures[[#This Row],[TCO ke]]*1000</f>
        <v>23000</v>
      </c>
      <c r="L17" s="148"/>
      <c r="M17" s="148"/>
      <c r="N17" s="148"/>
      <c r="O17" s="150"/>
      <c r="P17" s="152"/>
    </row>
    <row r="18" spans="1:16" ht="15.75" customHeight="1" x14ac:dyDescent="0.2">
      <c r="A18" s="65" t="s">
        <v>266</v>
      </c>
      <c r="B18" s="75" t="s">
        <v>143</v>
      </c>
      <c r="C18" s="75" t="str">
        <f>'INPUT_Mesures Actuelles'!$B$66</f>
        <v>OUI</v>
      </c>
      <c r="D18" s="76">
        <f>COUNTIF(Tableau_REF_SMMS['#MS],Tableau_REF_Mesures[[#This Row],['#MS]])</f>
        <v>2</v>
      </c>
      <c r="E18" s="76">
        <f>IF(Tableau_REF_Mesures[[#This Row],[Applicabilité]]="OUI",COUNTIF(Tableau_REF_SMMS['#MS],Tableau_REF_Mesures[[#This Row],['#MS]]),0)</f>
        <v>2</v>
      </c>
      <c r="F18" s="153">
        <f>SUMIF(Tableau_REF_SMMS['#MS],A18,Tableau_REF_SMMS[Couverture effective])</f>
        <v>0.35058275058275062</v>
      </c>
      <c r="G18" s="78">
        <f>IF(C18="OUI",'INPUT_Mesures Actuelles'!$B$69,0)</f>
        <v>111</v>
      </c>
      <c r="H18" s="79">
        <f>Tableau_REF_Mesures[[#This Row],[TCO ke]]*1000</f>
        <v>111000</v>
      </c>
      <c r="L18" s="148"/>
      <c r="M18" s="148"/>
      <c r="N18" s="148"/>
      <c r="O18" s="150"/>
      <c r="P18" s="152"/>
    </row>
    <row r="19" spans="1:16" ht="15.75" customHeight="1" x14ac:dyDescent="0.2">
      <c r="A19" s="65" t="s">
        <v>267</v>
      </c>
      <c r="B19" s="75" t="s">
        <v>268</v>
      </c>
      <c r="C19" s="75" t="str">
        <f>IF('INPUT_Mesures Actuelles'!$B$72=DATA_Listes!$A$70,"OUI","NON")</f>
        <v>NON</v>
      </c>
      <c r="D19" s="76">
        <f>COUNTIF(Tableau_REF_SMMS['#MS],Tableau_REF_Mesures[[#This Row],['#MS]])</f>
        <v>1</v>
      </c>
      <c r="E19" s="76">
        <f>IF(Tableau_REF_Mesures[[#This Row],[Applicabilité]]="OUI",COUNTIF(Tableau_REF_SMMS['#MS],Tableau_REF_Mesures[[#This Row],['#MS]]),0)</f>
        <v>0</v>
      </c>
      <c r="F19" s="153">
        <f>SUMIF(Tableau_REF_SMMS['#MS],A19,Tableau_REF_SMMS[Couverture effective])</f>
        <v>0</v>
      </c>
      <c r="G19" s="78">
        <f>IF(C19="OUI",'INPUT_Mesures Actuelles'!$B$75,0)</f>
        <v>0</v>
      </c>
      <c r="H19" s="79">
        <f>Tableau_REF_Mesures[[#This Row],[TCO ke]]*1000</f>
        <v>0</v>
      </c>
      <c r="L19" s="148"/>
      <c r="M19" s="148"/>
      <c r="N19" s="148"/>
      <c r="O19" s="150"/>
      <c r="P19" s="152"/>
    </row>
    <row r="20" spans="1:16" ht="15.75" customHeight="1" x14ac:dyDescent="0.2">
      <c r="A20" s="65" t="s">
        <v>269</v>
      </c>
      <c r="B20" s="75" t="s">
        <v>270</v>
      </c>
      <c r="C20" s="75" t="str">
        <f>IF('INPUT_Mesures Actuelles'!$B$72=DATA_Listes!$A$71,"OUI","NON")</f>
        <v>OUI</v>
      </c>
      <c r="D20" s="76">
        <f>COUNTIF(Tableau_REF_SMMS['#MS],Tableau_REF_Mesures[[#This Row],['#MS]])</f>
        <v>2</v>
      </c>
      <c r="E20" s="76">
        <f>IF(Tableau_REF_Mesures[[#This Row],[Applicabilité]]="OUI",COUNTIF(Tableau_REF_SMMS['#MS],Tableau_REF_Mesures[[#This Row],['#MS]]),0)</f>
        <v>2</v>
      </c>
      <c r="F20" s="153">
        <f>SUMIF(Tableau_REF_SMMS['#MS],A20,Tableau_REF_SMMS[Couverture effective])</f>
        <v>0.39193548387096772</v>
      </c>
      <c r="G20" s="78">
        <f>IF(C20="OUI",'INPUT_Mesures Actuelles'!$B$75,0)</f>
        <v>21</v>
      </c>
      <c r="H20" s="79">
        <f>Tableau_REF_Mesures[[#This Row],[TCO ke]]*1000</f>
        <v>21000</v>
      </c>
      <c r="L20" s="148"/>
      <c r="M20" s="148"/>
      <c r="N20" s="148"/>
      <c r="O20" s="150"/>
      <c r="P20" s="152"/>
    </row>
    <row r="21" spans="1:16" ht="15.75" customHeight="1" x14ac:dyDescent="0.2">
      <c r="A21" s="65" t="s">
        <v>271</v>
      </c>
      <c r="B21" s="75" t="s">
        <v>146</v>
      </c>
      <c r="C21" s="75" t="str">
        <f>'INPUT_Mesures Actuelles'!$B$78</f>
        <v>OUI</v>
      </c>
      <c r="D21" s="76">
        <f>COUNTIF(Tableau_REF_SMMS['#MS],Tableau_REF_Mesures[[#This Row],['#MS]])</f>
        <v>4</v>
      </c>
      <c r="E21" s="76">
        <f>IF(Tableau_REF_Mesures[[#This Row],[Applicabilité]]="OUI",COUNTIF(Tableau_REF_SMMS['#MS],Tableau_REF_Mesures[[#This Row],['#MS]]),0)</f>
        <v>4</v>
      </c>
      <c r="F21" s="153">
        <f>SUMIF(Tableau_REF_SMMS['#MS],A21,Tableau_REF_SMMS[Couverture effective])</f>
        <v>0.72321593214088153</v>
      </c>
      <c r="G21" s="78">
        <f>IF(C21="OUI",'INPUT_Mesures Actuelles'!$B$81,0)</f>
        <v>60</v>
      </c>
      <c r="H21" s="79">
        <f>Tableau_REF_Mesures[[#This Row],[TCO ke]]*1000</f>
        <v>60000</v>
      </c>
      <c r="L21" s="148"/>
      <c r="M21" s="148"/>
      <c r="N21" s="148"/>
      <c r="O21" s="151"/>
      <c r="P21" s="152"/>
    </row>
    <row r="22" spans="1:16" ht="15.75" customHeight="1" x14ac:dyDescent="0.2">
      <c r="A22" s="65" t="s">
        <v>272</v>
      </c>
      <c r="B22" s="75" t="s">
        <v>149</v>
      </c>
      <c r="C22" s="75" t="str">
        <f>IF('INPUT_Mesures Actuelles'!$B$84=DATA_Listes!$A$65,"OUI","NON")</f>
        <v>NON</v>
      </c>
      <c r="D22" s="76">
        <f>COUNTIF(Tableau_REF_SMMS['#MS],Tableau_REF_Mesures[[#This Row],['#MS]])</f>
        <v>9</v>
      </c>
      <c r="E22" s="76">
        <f>IF(Tableau_REF_Mesures[[#This Row],[Applicabilité]]="OUI",COUNTIF(Tableau_REF_SMMS['#MS],Tableau_REF_Mesures[[#This Row],['#MS]]),0)</f>
        <v>0</v>
      </c>
      <c r="F22" s="153">
        <f>SUMIF(Tableau_REF_SMMS['#MS],A22,Tableau_REF_SMMS[Couverture effective])</f>
        <v>0</v>
      </c>
      <c r="G22" s="78">
        <f>IF(C22="OUI",'INPUT_Mesures Actuelles'!$B$87,0)</f>
        <v>0</v>
      </c>
      <c r="H22" s="79">
        <f>Tableau_REF_Mesures[[#This Row],[TCO ke]]*1000</f>
        <v>0</v>
      </c>
    </row>
    <row r="23" spans="1:16" ht="15.75" customHeight="1" x14ac:dyDescent="0.2">
      <c r="A23" s="65" t="s">
        <v>273</v>
      </c>
      <c r="B23" s="75" t="s">
        <v>274</v>
      </c>
      <c r="C23" s="75" t="str">
        <f>IF('INPUT_Mesures Actuelles'!$B$84=DATA_Listes!$A$66,"OUI","NON")</f>
        <v>OUI</v>
      </c>
      <c r="D23" s="76">
        <f>COUNTIF(Tableau_REF_SMMS['#MS],Tableau_REF_Mesures[[#This Row],['#MS]])</f>
        <v>11</v>
      </c>
      <c r="E23" s="76">
        <f>IF(Tableau_REF_Mesures[[#This Row],[Applicabilité]]="OUI",COUNTIF(Tableau_REF_SMMS['#MS],Tableau_REF_Mesures[[#This Row],['#MS]]),0)</f>
        <v>11</v>
      </c>
      <c r="F23" s="153">
        <f>SUMIF(Tableau_REF_SMMS['#MS],A23,Tableau_REF_SMMS[Couverture effective])</f>
        <v>2.4943347739573922</v>
      </c>
      <c r="G23" s="78">
        <f>IF(C23="OUI",'INPUT_Mesures Actuelles'!$B$87,0)</f>
        <v>40</v>
      </c>
      <c r="H23" s="79">
        <f>Tableau_REF_Mesures[[#This Row],[TCO ke]]*1000</f>
        <v>40000</v>
      </c>
    </row>
    <row r="24" spans="1:16" ht="15.75" customHeight="1" x14ac:dyDescent="0.2">
      <c r="A24" s="65" t="s">
        <v>275</v>
      </c>
      <c r="B24" s="75" t="s">
        <v>150</v>
      </c>
      <c r="C24" s="75" t="str">
        <f>'INPUT_Mesures Actuelles'!$B$90</f>
        <v>OUI</v>
      </c>
      <c r="D24" s="76">
        <f>COUNTIF(Tableau_REF_SMMS['#MS],Tableau_REF_Mesures[[#This Row],['#MS]])</f>
        <v>6</v>
      </c>
      <c r="E24" s="76">
        <f>IF(Tableau_REF_Mesures[[#This Row],[Applicabilité]]="OUI",COUNTIF(Tableau_REF_SMMS['#MS],Tableau_REF_Mesures[[#This Row],['#MS]]),0)</f>
        <v>6</v>
      </c>
      <c r="F24" s="153">
        <f>SUMIF(Tableau_REF_SMMS['#MS],A24,Tableau_REF_SMMS[Couverture effective])</f>
        <v>0.99426308985132517</v>
      </c>
      <c r="G24" s="78">
        <f>IF(C24="OUI",'INPUT_Mesures Actuelles'!$B$93,0)</f>
        <v>99</v>
      </c>
      <c r="H24" s="79">
        <f>Tableau_REF_Mesures[[#This Row],[TCO ke]]*1000</f>
        <v>99000</v>
      </c>
    </row>
    <row r="25" spans="1:16" ht="15.75" customHeight="1" x14ac:dyDescent="0.2">
      <c r="A25" s="65" t="s">
        <v>276</v>
      </c>
      <c r="B25" s="75" t="s">
        <v>152</v>
      </c>
      <c r="C25" s="75" t="str">
        <f>'INPUT_Mesures Actuelles'!$B$96</f>
        <v>OUI</v>
      </c>
      <c r="D25" s="76">
        <f>COUNTIF(Tableau_REF_SMMS['#MS],Tableau_REF_Mesures[[#This Row],['#MS]])</f>
        <v>4</v>
      </c>
      <c r="E25" s="76">
        <f>IF(Tableau_REF_Mesures[[#This Row],[Applicabilité]]="OUI",COUNTIF(Tableau_REF_SMMS['#MS],Tableau_REF_Mesures[[#This Row],['#MS]]),0)</f>
        <v>4</v>
      </c>
      <c r="F25" s="153">
        <f>SUMIF(Tableau_REF_SMMS['#MS],A25,Tableau_REF_SMMS[Couverture effective])</f>
        <v>0.49011164274322172</v>
      </c>
      <c r="G25" s="78">
        <f>IF(C25="OUI",'INPUT_Mesures Actuelles'!$B$99,0)</f>
        <v>44</v>
      </c>
      <c r="H25" s="79">
        <f>Tableau_REF_Mesures[[#This Row],[TCO ke]]*1000</f>
        <v>44000</v>
      </c>
    </row>
    <row r="26" spans="1:16" ht="15.75" customHeight="1" x14ac:dyDescent="0.2">
      <c r="A26" s="65" t="s">
        <v>277</v>
      </c>
      <c r="B26" s="75" t="s">
        <v>153</v>
      </c>
      <c r="C26" s="75" t="str">
        <f>'INPUT_Mesures Actuelles'!$B$102</f>
        <v>OUI</v>
      </c>
      <c r="D26" s="76">
        <f>COUNTIF(Tableau_REF_SMMS['#MS],Tableau_REF_Mesures[[#This Row],['#MS]])</f>
        <v>2</v>
      </c>
      <c r="E26" s="76">
        <f>IF(Tableau_REF_Mesures[[#This Row],[Applicabilité]]="OUI",COUNTIF(Tableau_REF_SMMS['#MS],Tableau_REF_Mesures[[#This Row],['#MS]]),0)</f>
        <v>2</v>
      </c>
      <c r="F26" s="153">
        <f>SUMIF(Tableau_REF_SMMS['#MS],A26,Tableau_REF_SMMS[Couverture effective])</f>
        <v>0.28333333333333333</v>
      </c>
      <c r="G26" s="78">
        <f>IF(C26="OUI",'INPUT_Mesures Actuelles'!$B$105,0)</f>
        <v>67</v>
      </c>
      <c r="H26" s="79">
        <f>Tableau_REF_Mesures[[#This Row],[TCO ke]]*1000</f>
        <v>67000</v>
      </c>
    </row>
    <row r="27" spans="1:16" ht="15.75" customHeight="1" x14ac:dyDescent="0.2">
      <c r="A27" s="65" t="s">
        <v>278</v>
      </c>
      <c r="B27" s="75" t="s">
        <v>154</v>
      </c>
      <c r="C27" s="75" t="str">
        <f>'INPUT_Mesures Actuelles'!$B$108</f>
        <v>OUI</v>
      </c>
      <c r="D27" s="76">
        <f>COUNTIF(Tableau_REF_SMMS['#MS],Tableau_REF_Mesures[[#This Row],['#MS]])</f>
        <v>28</v>
      </c>
      <c r="E27" s="76">
        <f>IF(Tableau_REF_Mesures[[#This Row],[Applicabilité]]="OUI",COUNTIF(Tableau_REF_SMMS['#MS],Tableau_REF_Mesures[[#This Row],['#MS]]),0)</f>
        <v>28</v>
      </c>
      <c r="F27" s="153">
        <f>SUMIF(Tableau_REF_SMMS['#MS],A27,Tableau_REF_SMMS[Couverture effective])</f>
        <v>2.0223717897923392</v>
      </c>
      <c r="G27" s="78">
        <f>IF(C27="OUI",'INPUT_Mesures Actuelles'!$B$111,0)</f>
        <v>8</v>
      </c>
      <c r="H27" s="79">
        <f>Tableau_REF_Mesures[[#This Row],[TCO ke]]*1000</f>
        <v>8000</v>
      </c>
    </row>
    <row r="28" spans="1:16" ht="15.75" customHeight="1" x14ac:dyDescent="0.2">
      <c r="A28" s="65" t="s">
        <v>279</v>
      </c>
      <c r="B28" s="75" t="s">
        <v>155</v>
      </c>
      <c r="C28" s="75" t="str">
        <f>'INPUT_Mesures Actuelles'!$B$114</f>
        <v>OUI</v>
      </c>
      <c r="D28" s="76">
        <f>COUNTIF(Tableau_REF_SMMS['#MS],Tableau_REF_Mesures[[#This Row],['#MS]])</f>
        <v>9</v>
      </c>
      <c r="E28" s="76">
        <f>IF(Tableau_REF_Mesures[[#This Row],[Applicabilité]]="OUI",COUNTIF(Tableau_REF_SMMS['#MS],Tableau_REF_Mesures[[#This Row],['#MS]]),0)</f>
        <v>9</v>
      </c>
      <c r="F28" s="153">
        <f>SUMIF(Tableau_REF_SMMS['#MS],A28,Tableau_REF_SMMS[Couverture effective])</f>
        <v>1.1849000974337931</v>
      </c>
      <c r="G28" s="78">
        <f>IF(C28="OUI",'INPUT_Mesures Actuelles'!$B$117,0)</f>
        <v>33</v>
      </c>
      <c r="H28" s="79">
        <f>Tableau_REF_Mesures[[#This Row],[TCO ke]]*1000</f>
        <v>33000</v>
      </c>
    </row>
    <row r="29" spans="1:16" ht="15.75" customHeight="1" x14ac:dyDescent="0.2">
      <c r="A29" s="65" t="s">
        <v>280</v>
      </c>
      <c r="B29" s="75" t="s">
        <v>156</v>
      </c>
      <c r="C29" s="75" t="str">
        <f>'INPUT_Mesures Actuelles'!$B$120</f>
        <v>OUI</v>
      </c>
      <c r="D29" s="76">
        <f>COUNTIF(Tableau_REF_SMMS['#MS],Tableau_REF_Mesures[[#This Row],['#MS]])</f>
        <v>7</v>
      </c>
      <c r="E29" s="76">
        <f>IF(Tableau_REF_Mesures[[#This Row],[Applicabilité]]="OUI",COUNTIF(Tableau_REF_SMMS['#MS],Tableau_REF_Mesures[[#This Row],['#MS]]),0)</f>
        <v>7</v>
      </c>
      <c r="F29" s="153">
        <f>SUMIF(Tableau_REF_SMMS['#MS],A29,Tableau_REF_SMMS[Couverture effective])</f>
        <v>0.87978101411887477</v>
      </c>
      <c r="G29" s="78">
        <f>IF(C29="OUI",'INPUT_Mesures Actuelles'!$B$123,0)</f>
        <v>22</v>
      </c>
      <c r="H29" s="79">
        <f>Tableau_REF_Mesures[[#This Row],[TCO ke]]*1000</f>
        <v>22000</v>
      </c>
    </row>
    <row r="30" spans="1:16" ht="15.75" customHeight="1" x14ac:dyDescent="0.2">
      <c r="A30" s="65" t="s">
        <v>281</v>
      </c>
      <c r="B30" s="75" t="s">
        <v>157</v>
      </c>
      <c r="C30" s="75" t="str">
        <f>'INPUT_Mesures Actuelles'!$B$126</f>
        <v>OUI</v>
      </c>
      <c r="D30" s="76">
        <f>COUNTIF(Tableau_REF_SMMS['#MS],Tableau_REF_Mesures[[#This Row],['#MS]])</f>
        <v>3</v>
      </c>
      <c r="E30" s="76">
        <f>IF(Tableau_REF_Mesures[[#This Row],[Applicabilité]]="OUI",COUNTIF(Tableau_REF_SMMS['#MS],Tableau_REF_Mesures[[#This Row],['#MS]]),0)</f>
        <v>3</v>
      </c>
      <c r="F30" s="153">
        <f>SUMIF(Tableau_REF_SMMS['#MS],A30,Tableau_REF_SMMS[Couverture effective])</f>
        <v>0.66263484798953909</v>
      </c>
      <c r="G30" s="78">
        <f>IF(C30="OUI",'INPUT_Mesures Actuelles'!$B$129,0)</f>
        <v>90</v>
      </c>
      <c r="H30" s="79">
        <f>Tableau_REF_Mesures[[#This Row],[TCO ke]]*1000</f>
        <v>90000</v>
      </c>
    </row>
    <row r="31" spans="1:16" ht="15.75" customHeight="1" x14ac:dyDescent="0.2">
      <c r="A31" s="65" t="s">
        <v>282</v>
      </c>
      <c r="B31" s="75" t="s">
        <v>167</v>
      </c>
      <c r="C31" s="75" t="str">
        <f>'INPUT_Mesures Actuelles'!$B$140</f>
        <v>OUI</v>
      </c>
      <c r="D31" s="76">
        <f>COUNTIF(Tableau_REF_SMMS['#MS],Tableau_REF_Mesures[[#This Row],['#MS]])</f>
        <v>28</v>
      </c>
      <c r="E31" s="76">
        <f>IF(Tableau_REF_Mesures[[#This Row],[Applicabilité]]="OUI",COUNTIF(Tableau_REF_SMMS['#MS],Tableau_REF_Mesures[[#This Row],['#MS]]),0)</f>
        <v>28</v>
      </c>
      <c r="F31" s="153">
        <f>SUMIF(Tableau_REF_SMMS['#MS],A31,Tableau_REF_SMMS[Couverture effective])</f>
        <v>2.5063938191422901</v>
      </c>
      <c r="G31" s="78">
        <f>IF(C31="OUI",'INPUT_Mesures Actuelles'!$B$143,0)</f>
        <v>79</v>
      </c>
      <c r="H31" s="79">
        <f>Tableau_REF_Mesures[[#This Row],[TCO ke]]*1000</f>
        <v>79000</v>
      </c>
    </row>
    <row r="32" spans="1:16" ht="15.75" customHeight="1" x14ac:dyDescent="0.2">
      <c r="A32" s="65" t="s">
        <v>283</v>
      </c>
      <c r="B32" s="75" t="s">
        <v>159</v>
      </c>
      <c r="C32" s="75" t="str">
        <f>'INPUT_Mesures Actuelles'!$B$134</f>
        <v>OUI</v>
      </c>
      <c r="D32" s="76">
        <f>COUNTIF(Tableau_REF_SMMS['#MS],Tableau_REF_Mesures[[#This Row],['#MS]])</f>
        <v>28</v>
      </c>
      <c r="E32" s="76">
        <f>IF(Tableau_REF_Mesures[[#This Row],[Applicabilité]]="OUI",COUNTIF(Tableau_REF_SMMS['#MS],Tableau_REF_Mesures[[#This Row],['#MS]]),0)</f>
        <v>28</v>
      </c>
      <c r="F32" s="153">
        <f>SUMIF(Tableau_REF_SMMS['#MS],A32,Tableau_REF_SMMS[Couverture effective])</f>
        <v>3.2413966721214984</v>
      </c>
      <c r="G32" s="78">
        <f>IF(C32="OUI",'INPUT_Mesures Actuelles'!$B$137,0)</f>
        <v>98</v>
      </c>
      <c r="H32" s="79">
        <f>Tableau_REF_Mesures[[#This Row],[TCO ke]]*1000</f>
        <v>98000</v>
      </c>
    </row>
    <row r="33" spans="1:14" ht="15.75" customHeight="1" x14ac:dyDescent="0.2">
      <c r="A33" s="65" t="s">
        <v>284</v>
      </c>
      <c r="B33" s="75" t="s">
        <v>285</v>
      </c>
      <c r="C33" s="75" t="str">
        <f>'INPUT_Mesures Actuelles'!$B$146</f>
        <v>OUI</v>
      </c>
      <c r="D33" s="76">
        <f>COUNTIF(Tableau_REF_SMMS['#MS],Tableau_REF_Mesures[[#This Row],['#MS]])</f>
        <v>13</v>
      </c>
      <c r="E33" s="76">
        <f>IF(Tableau_REF_Mesures[[#This Row],[Applicabilité]]="OUI",COUNTIF(Tableau_REF_SMMS['#MS],Tableau_REF_Mesures[[#This Row],['#MS]]),0)</f>
        <v>13</v>
      </c>
      <c r="F33" s="153">
        <f>SUMIF(Tableau_REF_SMMS['#MS],A33,Tableau_REF_SMMS[Couverture effective])</f>
        <v>1.3776010492500048</v>
      </c>
      <c r="G33" s="78">
        <f>IF(C33="OUI",'INPUT_Mesures Actuelles'!$B$149,0)</f>
        <v>88</v>
      </c>
      <c r="H33" s="79">
        <f>Tableau_REF_Mesures[[#This Row],[TCO ke]]*1000</f>
        <v>88000</v>
      </c>
    </row>
    <row r="34" spans="1:14" ht="15.75" customHeight="1" x14ac:dyDescent="0.2">
      <c r="A34" s="65" t="s">
        <v>286</v>
      </c>
      <c r="B34" s="75" t="s">
        <v>287</v>
      </c>
      <c r="C34" s="75" t="str">
        <f>'INPUT_Mesures Actuelles'!$B$152</f>
        <v>OUI</v>
      </c>
      <c r="D34" s="76">
        <f>COUNTIF(Tableau_REF_SMMS['#MS],Tableau_REF_Mesures[[#This Row],['#MS]])</f>
        <v>16</v>
      </c>
      <c r="E34" s="76">
        <f>IF(Tableau_REF_Mesures[[#This Row],[Applicabilité]]="OUI",COUNTIF(Tableau_REF_SMMS['#MS],Tableau_REF_Mesures[[#This Row],['#MS]]),0)</f>
        <v>16</v>
      </c>
      <c r="F34" s="153">
        <f>SUMIF(Tableau_REF_SMMS['#MS],A34,Tableau_REF_SMMS[Couverture effective])</f>
        <v>1.6083333135849742</v>
      </c>
      <c r="G34" s="78">
        <f>IF(C34="OUI",'INPUT_Mesures Actuelles'!$B$155,0)</f>
        <v>87</v>
      </c>
      <c r="H34" s="79">
        <f>Tableau_REF_Mesures[[#This Row],[TCO ke]]*1000</f>
        <v>87000</v>
      </c>
    </row>
    <row r="35" spans="1:14" ht="15.75" customHeight="1" x14ac:dyDescent="0.2">
      <c r="A35" s="65" t="s">
        <v>288</v>
      </c>
      <c r="B35" s="75" t="s">
        <v>175</v>
      </c>
      <c r="C35" s="75" t="str">
        <f>'INPUT_Mesures Actuelles'!$B$158</f>
        <v>OUI</v>
      </c>
      <c r="D35" s="76">
        <f>COUNTIF(Tableau_REF_SMMS['#MS],Tableau_REF_Mesures[[#This Row],['#MS]])</f>
        <v>7</v>
      </c>
      <c r="E35" s="76">
        <f>IF(Tableau_REF_Mesures[[#This Row],[Applicabilité]]="OUI",COUNTIF(Tableau_REF_SMMS['#MS],Tableau_REF_Mesures[[#This Row],['#MS]]),0)</f>
        <v>7</v>
      </c>
      <c r="F35" s="153">
        <f>SUMIF(Tableau_REF_SMMS['#MS],A35,Tableau_REF_SMMS[Couverture effective])</f>
        <v>0.87719781308016609</v>
      </c>
      <c r="G35" s="78">
        <f>IF(C35="OUI",'INPUT_Mesures Actuelles'!$B$161,0)</f>
        <v>89</v>
      </c>
      <c r="H35" s="79">
        <f>Tableau_REF_Mesures[[#This Row],[TCO ke]]*1000</f>
        <v>89000</v>
      </c>
    </row>
    <row r="36" spans="1:14" ht="15.75" customHeight="1" x14ac:dyDescent="0.2">
      <c r="A36" s="65" t="s">
        <v>289</v>
      </c>
      <c r="B36" s="75" t="s">
        <v>178</v>
      </c>
      <c r="C36" s="75" t="str">
        <f>'INPUT_Mesures Actuelles'!$B$164</f>
        <v>OUI</v>
      </c>
      <c r="D36" s="76">
        <f>COUNTIF(Tableau_REF_SMMS['#MS],Tableau_REF_Mesures[[#This Row],['#MS]])</f>
        <v>3</v>
      </c>
      <c r="E36" s="76">
        <f>IF(Tableau_REF_Mesures[[#This Row],[Applicabilité]]="OUI",COUNTIF(Tableau_REF_SMMS['#MS],Tableau_REF_Mesures[[#This Row],['#MS]]),0)</f>
        <v>3</v>
      </c>
      <c r="F36" s="153">
        <f>SUMIF(Tableau_REF_SMMS['#MS],A36,Tableau_REF_SMMS[Couverture effective])</f>
        <v>0.47385281385281386</v>
      </c>
      <c r="G36" s="78">
        <f>IF(C36="OUI",'INPUT_Mesures Actuelles'!$B$167,0)</f>
        <v>56</v>
      </c>
      <c r="H36" s="79">
        <f>Tableau_REF_Mesures[[#This Row],[TCO ke]]*1000</f>
        <v>56000</v>
      </c>
    </row>
    <row r="37" spans="1:14" ht="15.75" customHeight="1" x14ac:dyDescent="0.2">
      <c r="M37" s="75"/>
      <c r="N37" s="75"/>
    </row>
  </sheetData>
  <phoneticPr fontId="11" type="noConversion"/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BA393-E667-417D-9523-C09C6ED95CEB}">
  <dimension ref="A1:Q252"/>
  <sheetViews>
    <sheetView zoomScaleNormal="100" workbookViewId="0">
      <selection activeCell="B24" sqref="B24"/>
    </sheetView>
  </sheetViews>
  <sheetFormatPr baseColWidth="10" defaultRowHeight="12.75" x14ac:dyDescent="0.2"/>
  <cols>
    <col min="2" max="2" width="71.85546875" customWidth="1"/>
    <col min="3" max="3" width="17.7109375" style="39" customWidth="1"/>
    <col min="5" max="5" width="57.7109375" bestFit="1" customWidth="1"/>
    <col min="6" max="6" width="20" customWidth="1"/>
    <col min="7" max="7" width="20" style="113" customWidth="1"/>
    <col min="8" max="8" width="19" customWidth="1"/>
    <col min="9" max="9" width="16" customWidth="1"/>
  </cols>
  <sheetData>
    <row r="1" spans="1:9" x14ac:dyDescent="0.2">
      <c r="A1" s="39" t="s">
        <v>352</v>
      </c>
      <c r="B1" s="39" t="s">
        <v>290</v>
      </c>
      <c r="C1" s="65" t="s">
        <v>371</v>
      </c>
      <c r="D1" s="65" t="s">
        <v>365</v>
      </c>
      <c r="E1" s="65" t="s">
        <v>360</v>
      </c>
      <c r="F1" s="65" t="s">
        <v>362</v>
      </c>
      <c r="G1" s="65" t="s">
        <v>439</v>
      </c>
      <c r="H1" s="65" t="s">
        <v>361</v>
      </c>
      <c r="I1" s="65" t="s">
        <v>238</v>
      </c>
    </row>
    <row r="2" spans="1:9" x14ac:dyDescent="0.2">
      <c r="A2" s="39" t="s">
        <v>60</v>
      </c>
      <c r="B2" t="str">
        <f>VLOOKUP(A2,Tableau_REF_Risques[],2,FALSE)</f>
        <v>Accès au réseau Wi-Fi par une personne non autorisée (absence ou contournement des mécanismes de sécurité)</v>
      </c>
      <c r="C2" s="39">
        <f>_xlfn.MAXIFS(Tableau_REF_SMSR[Vrais Retenue],Tableau_REF_SMSR['#SM],Tableau_REF_SMMS[[#This Row],['#SM]])</f>
        <v>2</v>
      </c>
      <c r="D2" s="66" t="s">
        <v>273</v>
      </c>
      <c r="E2" t="str">
        <f>VLOOKUP(D2,Tableau_REF_Mesures[],2,FALSE)</f>
        <v>Solution de protection des terminaux (EDR)</v>
      </c>
      <c r="F2" s="143">
        <v>0.29629629629629628</v>
      </c>
      <c r="G2" s="143">
        <f>IFERROR(VLOOKUP(Tableau_REF_SMMS[[#This Row],['#MS]],Tableau_REC_Mesures[#All],6,FALSE),0)</f>
        <v>0</v>
      </c>
      <c r="H2" s="144">
        <f>IF(VLOOKUP(D2,Tableau_REF_Mesures[],3,FALSE)="OUI",F2+(F2*G2),0)</f>
        <v>0.29629629629629628</v>
      </c>
      <c r="I2" s="79">
        <f>VLOOKUP(D2,Tableau_REF_Mesures[],8,FALSE)*H2/IF(VLOOKUP(D2,Tableau_REF_Mesures[],6,FALSE)&gt;0,VLOOKUP(D2,Tableau_REF_Mesures[],6,FALSE),1)</f>
        <v>4751.5080876847451</v>
      </c>
    </row>
    <row r="3" spans="1:9" x14ac:dyDescent="0.2">
      <c r="A3" s="39" t="s">
        <v>60</v>
      </c>
      <c r="B3" s="39" t="str">
        <f>VLOOKUP(A3,Tableau_REF_Risques[],2,FALSE)</f>
        <v>Accès au réseau Wi-Fi par une personne non autorisée (absence ou contournement des mécanismes de sécurité)</v>
      </c>
      <c r="C3" s="39">
        <f>_xlfn.MAXIFS(Tableau_REF_SMSR[Vrais Retenue],Tableau_REF_SMSR['#SM],Tableau_REF_SMMS[[#This Row],['#SM]])</f>
        <v>2</v>
      </c>
      <c r="D3" s="66" t="s">
        <v>248</v>
      </c>
      <c r="E3" s="39" t="str">
        <f>VLOOKUP(D3,Tableau_REF_Mesures[],2,FALSE)</f>
        <v>Solution de contrôle d'accès réseau (NAC)</v>
      </c>
      <c r="F3" s="143">
        <v>0.33333333333333331</v>
      </c>
      <c r="G3" s="143">
        <f>IFERROR(VLOOKUP(Tableau_REF_SMMS[[#This Row],['#MS]],Tableau_REC_Mesures[#All],6,FALSE),0)</f>
        <v>0</v>
      </c>
      <c r="H3" s="144">
        <f>IF(VLOOKUP(D3,Tableau_REF_Mesures[],3,FALSE)="OUI",F3+(F3*G3),0)</f>
        <v>0</v>
      </c>
      <c r="I3" s="79">
        <f>VLOOKUP(D3,Tableau_REF_Mesures[],8,FALSE)*H3/IF(VLOOKUP(D3,Tableau_REF_Mesures[],6,FALSE)&gt;0,VLOOKUP(D3,Tableau_REF_Mesures[],6,FALSE),1)</f>
        <v>0</v>
      </c>
    </row>
    <row r="4" spans="1:9" x14ac:dyDescent="0.2">
      <c r="A4" s="39" t="s">
        <v>60</v>
      </c>
      <c r="B4" s="39" t="str">
        <f>VLOOKUP(A4,Tableau_REF_Risques[],2,FALSE)</f>
        <v>Accès au réseau Wi-Fi par une personne non autorisée (absence ou contournement des mécanismes de sécurité)</v>
      </c>
      <c r="C4" s="39">
        <f>_xlfn.MAXIFS(Tableau_REF_SMSR[Vrais Retenue],Tableau_REF_SMSR['#SM],Tableau_REF_SMMS[[#This Row],['#SM]])</f>
        <v>2</v>
      </c>
      <c r="D4" s="66" t="s">
        <v>278</v>
      </c>
      <c r="E4" s="39" t="str">
        <f>VLOOKUP(D4,Tableau_REF_Mesures[],2,FALSE)</f>
        <v>Solution de collecte et de traitement des événements (SIEM)</v>
      </c>
      <c r="F4" s="143">
        <v>7.407407407407407E-2</v>
      </c>
      <c r="G4" s="143">
        <f>IFERROR(VLOOKUP(Tableau_REF_SMMS[[#This Row],['#MS]],Tableau_REC_Mesures[#All],6,FALSE),0)</f>
        <v>0</v>
      </c>
      <c r="H4" s="144">
        <f>IF(VLOOKUP(D4,Tableau_REF_Mesures[],3,FALSE)="OUI",F4+(F4*G4),0)</f>
        <v>7.407407407407407E-2</v>
      </c>
      <c r="I4" s="79">
        <f>VLOOKUP(D4,Tableau_REF_Mesures[],8,FALSE)*H4/IF(VLOOKUP(D4,Tableau_REF_Mesures[],6,FALSE)&gt;0,VLOOKUP(D4,Tableau_REF_Mesures[],6,FALSE),1)</f>
        <v>293.01862080139136</v>
      </c>
    </row>
    <row r="5" spans="1:9" x14ac:dyDescent="0.2">
      <c r="A5" s="39" t="s">
        <v>60</v>
      </c>
      <c r="B5" s="39" t="str">
        <f>VLOOKUP(A5,Tableau_REF_Risques[],2,FALSE)</f>
        <v>Accès au réseau Wi-Fi par une personne non autorisée (absence ou contournement des mécanismes de sécurité)</v>
      </c>
      <c r="C5" s="39">
        <f>_xlfn.MAXIFS(Tableau_REF_SMSR[Vrais Retenue],Tableau_REF_SMSR['#SM],Tableau_REF_SMMS[[#This Row],['#SM]])</f>
        <v>2</v>
      </c>
      <c r="D5" s="66" t="s">
        <v>282</v>
      </c>
      <c r="E5" s="39" t="str">
        <f>VLOOKUP(D5,Tableau_REF_Mesures[],2,FALSE)</f>
        <v>Service de supervision de sécurité (SOC)</v>
      </c>
      <c r="F5" s="143">
        <v>0.1111111111111111</v>
      </c>
      <c r="G5" s="143">
        <f>IFERROR(VLOOKUP(Tableau_REF_SMMS[[#This Row],['#MS]],Tableau_REC_Mesures[#All],6,FALSE),0)</f>
        <v>0</v>
      </c>
      <c r="H5" s="144">
        <f>IF(VLOOKUP(D5,Tableau_REF_Mesures[],3,FALSE)="OUI",F5+(F5*G5),0)</f>
        <v>0.1111111111111111</v>
      </c>
      <c r="I5" s="79">
        <f>VLOOKUP(D5,Tableau_REF_Mesures[],8,FALSE)*H5/IF(VLOOKUP(D5,Tableau_REF_Mesures[],6,FALSE)&gt;0,VLOOKUP(D5,Tableau_REF_Mesures[],6,FALSE),1)</f>
        <v>3502.1542547458125</v>
      </c>
    </row>
    <row r="6" spans="1:9" x14ac:dyDescent="0.2">
      <c r="A6" s="39" t="s">
        <v>60</v>
      </c>
      <c r="B6" s="39" t="str">
        <f>VLOOKUP(A6,Tableau_REF_Risques[],2,FALSE)</f>
        <v>Accès au réseau Wi-Fi par une personne non autorisée (absence ou contournement des mécanismes de sécurité)</v>
      </c>
      <c r="C6" s="39">
        <f>_xlfn.MAXIFS(Tableau_REF_SMSR[Vrais Retenue],Tableau_REF_SMSR['#SM],Tableau_REF_SMMS[[#This Row],['#SM]])</f>
        <v>2</v>
      </c>
      <c r="D6" s="66" t="s">
        <v>283</v>
      </c>
      <c r="E6" s="39" t="str">
        <f>VLOOKUP(D6,Tableau_REF_Mesures[],2,FALSE)</f>
        <v>Service de gestion des solutions de sécurité</v>
      </c>
      <c r="F6" s="143">
        <v>0.1111111111111111</v>
      </c>
      <c r="G6" s="143">
        <f>IFERROR(VLOOKUP(Tableau_REF_SMMS[[#This Row],['#MS]],Tableau_REC_Mesures[#All],6,FALSE),0)</f>
        <v>0</v>
      </c>
      <c r="H6" s="144">
        <f>IF(VLOOKUP(D6,Tableau_REF_Mesures[],3,FALSE)="OUI",F6+(F6*G6),0)</f>
        <v>0.1111111111111111</v>
      </c>
      <c r="I6" s="79"/>
    </row>
    <row r="7" spans="1:9" x14ac:dyDescent="0.2">
      <c r="A7" s="39" t="s">
        <v>60</v>
      </c>
      <c r="B7" s="39" t="str">
        <f>VLOOKUP(A7,Tableau_REF_Risques[],2,FALSE)</f>
        <v>Accès au réseau Wi-Fi par une personne non autorisée (absence ou contournement des mécanismes de sécurité)</v>
      </c>
      <c r="C7" s="39">
        <f>_xlfn.MAXIFS(Tableau_REF_SMSR[Vrais Retenue],Tableau_REF_SMSR['#SM],Tableau_REF_SMMS[[#This Row],['#SM]])</f>
        <v>2</v>
      </c>
      <c r="D7" s="66" t="s">
        <v>288</v>
      </c>
      <c r="E7" s="39" t="str">
        <f>VLOOKUP(D7,Tableau_REF_Mesures[],2,FALSE)</f>
        <v>Service de gestion de la gouvernance et des risques</v>
      </c>
      <c r="F7" s="143">
        <v>7.407407407407407E-2</v>
      </c>
      <c r="G7" s="143">
        <f>IFERROR(VLOOKUP(Tableau_REF_SMMS[[#This Row],['#MS]],Tableau_REC_Mesures[#All],6,FALSE),0)</f>
        <v>0</v>
      </c>
      <c r="H7" s="144">
        <f>IF(VLOOKUP(D7,Tableau_REF_Mesures[],3,FALSE)="OUI",F7+(F7*G7),0)</f>
        <v>7.407407407407407E-2</v>
      </c>
      <c r="I7" s="79">
        <f>VLOOKUP(D7,Tableau_REF_Mesures[],8,FALSE)*H7/IF(VLOOKUP(D7,Tableau_REF_Mesures[],6,FALSE)&gt;0,VLOOKUP(D7,Tableau_REF_Mesures[],6,FALSE),1)</f>
        <v>7515.5141682849853</v>
      </c>
    </row>
    <row r="8" spans="1:9" x14ac:dyDescent="0.2">
      <c r="A8" s="39" t="s">
        <v>59</v>
      </c>
      <c r="B8" s="39" t="str">
        <f>VLOOKUP(A8,Tableau_REF_Risques[],2,FALSE)</f>
        <v>Compromission du réseau via l'installation d'une application infectée</v>
      </c>
      <c r="C8" s="39">
        <f>_xlfn.MAXIFS(Tableau_REF_SMSR[Vrais Retenue],Tableau_REF_SMSR['#SM],Tableau_REF_SMMS[[#This Row],['#SM]])</f>
        <v>3</v>
      </c>
      <c r="D8" s="66" t="s">
        <v>271</v>
      </c>
      <c r="E8" s="39" t="str">
        <f>VLOOKUP(D8,Tableau_REF_Mesures[],2,FALSE)</f>
        <v>Solution de gestion des terminaux (MDM)</v>
      </c>
      <c r="F8" s="143">
        <v>0.17241379310344829</v>
      </c>
      <c r="G8" s="143">
        <f>IFERROR(VLOOKUP(Tableau_REF_SMMS[[#This Row],['#MS]],Tableau_REC_Mesures[#All],6,FALSE),0)</f>
        <v>0</v>
      </c>
      <c r="H8" s="144">
        <f>IF(VLOOKUP(D8,Tableau_REF_Mesures[],3,FALSE)="OUI",F8+(F8*G8),0)</f>
        <v>0.17241379310344829</v>
      </c>
      <c r="I8" s="79">
        <f>VLOOKUP(D8,Tableau_REF_Mesures[],8,FALSE)*H8/IF(VLOOKUP(D8,Tableau_REF_Mesures[],6,FALSE)&gt;0,VLOOKUP(D8,Tableau_REF_Mesures[],6,FALSE),1)</f>
        <v>14303.92656807751</v>
      </c>
    </row>
    <row r="9" spans="1:9" x14ac:dyDescent="0.2">
      <c r="A9" s="39" t="s">
        <v>59</v>
      </c>
      <c r="B9" s="39" t="str">
        <f>VLOOKUP(A9,Tableau_REF_Risques[],2,FALSE)</f>
        <v>Compromission du réseau via l'installation d'une application infectée</v>
      </c>
      <c r="C9" s="39">
        <f>_xlfn.MAXIFS(Tableau_REF_SMSR[Vrais Retenue],Tableau_REF_SMSR['#SM],Tableau_REF_SMMS[[#This Row],['#SM]])</f>
        <v>3</v>
      </c>
      <c r="D9" s="66" t="s">
        <v>272</v>
      </c>
      <c r="E9" s="39" t="str">
        <f>VLOOKUP(D9,Tableau_REF_Mesures[],2,FALSE)</f>
        <v>Solution de protection des terminaux (Antimalware basique)</v>
      </c>
      <c r="F9" s="143">
        <v>0.10344827586206896</v>
      </c>
      <c r="G9" s="143">
        <f>IFERROR(VLOOKUP(Tableau_REF_SMMS[[#This Row],['#MS]],Tableau_REC_Mesures[#All],6,FALSE),0)</f>
        <v>0</v>
      </c>
      <c r="H9" s="144">
        <f>IF(VLOOKUP(D9,Tableau_REF_Mesures[],3,FALSE)="OUI",F9+(F9*G9),0)</f>
        <v>0</v>
      </c>
      <c r="I9" s="79">
        <f>VLOOKUP(D9,Tableau_REF_Mesures[],8,FALSE)*H9/IF(VLOOKUP(D9,Tableau_REF_Mesures[],6,FALSE)&gt;0,VLOOKUP(D9,Tableau_REF_Mesures[],6,FALSE),1)</f>
        <v>0</v>
      </c>
    </row>
    <row r="10" spans="1:9" x14ac:dyDescent="0.2">
      <c r="A10" s="39" t="s">
        <v>59</v>
      </c>
      <c r="B10" s="39" t="str">
        <f>VLOOKUP(A10,Tableau_REF_Risques[],2,FALSE)</f>
        <v>Compromission du réseau via l'installation d'une application infectée</v>
      </c>
      <c r="C10" s="39">
        <f>_xlfn.MAXIFS(Tableau_REF_SMSR[Vrais Retenue],Tableau_REF_SMSR['#SM],Tableau_REF_SMMS[[#This Row],['#SM]])</f>
        <v>3</v>
      </c>
      <c r="D10" s="66" t="s">
        <v>273</v>
      </c>
      <c r="E10" s="39" t="str">
        <f>VLOOKUP(D10,Tableau_REF_Mesures[],2,FALSE)</f>
        <v>Solution de protection des terminaux (EDR)</v>
      </c>
      <c r="F10" s="143">
        <v>0.37931034482758619</v>
      </c>
      <c r="G10" s="143">
        <f>IFERROR(VLOOKUP(Tableau_REF_SMMS[[#This Row],['#MS]],Tableau_REC_Mesures[#All],6,FALSE),0)</f>
        <v>0</v>
      </c>
      <c r="H10" s="144">
        <f>IF(VLOOKUP(D10,Tableau_REF_Mesures[],3,FALSE)="OUI",F10+(F10*G10),0)</f>
        <v>0.37931034482758619</v>
      </c>
      <c r="I10" s="79">
        <f>VLOOKUP(D10,Tableau_REF_Mesures[],8,FALSE)*H10/IF(VLOOKUP(D10,Tableau_REF_Mesures[],6,FALSE)&gt;0,VLOOKUP(D10,Tableau_REF_Mesures[],6,FALSE),1)</f>
        <v>6082.7495777688337</v>
      </c>
    </row>
    <row r="11" spans="1:9" x14ac:dyDescent="0.2">
      <c r="A11" s="39" t="s">
        <v>59</v>
      </c>
      <c r="B11" s="39" t="str">
        <f>VLOOKUP(A11,Tableau_REF_Risques[],2,FALSE)</f>
        <v>Compromission du réseau via l'installation d'une application infectée</v>
      </c>
      <c r="C11" s="39">
        <f>_xlfn.MAXIFS(Tableau_REF_SMSR[Vrais Retenue],Tableau_REF_SMSR['#SM],Tableau_REF_SMMS[[#This Row],['#SM]])</f>
        <v>3</v>
      </c>
      <c r="D11" s="66" t="s">
        <v>278</v>
      </c>
      <c r="E11" s="39" t="str">
        <f>VLOOKUP(D11,Tableau_REF_Mesures[],2,FALSE)</f>
        <v>Solution de collecte et de traitement des événements (SIEM)</v>
      </c>
      <c r="F11" s="143">
        <v>6.8965517241379309E-2</v>
      </c>
      <c r="G11" s="143">
        <f>IFERROR(VLOOKUP(Tableau_REF_SMMS[[#This Row],['#MS]],Tableau_REC_Mesures[#All],6,FALSE),0)</f>
        <v>0</v>
      </c>
      <c r="H11" s="144">
        <f>IF(VLOOKUP(D11,Tableau_REF_Mesures[],3,FALSE)="OUI",F11+(F11*G11),0)</f>
        <v>6.8965517241379309E-2</v>
      </c>
      <c r="I11" s="79">
        <f>VLOOKUP(D11,Tableau_REF_Mesures[],8,FALSE)*H11/IF(VLOOKUP(D11,Tableau_REF_Mesures[],6,FALSE)&gt;0,VLOOKUP(D11,Tableau_REF_Mesures[],6,FALSE),1)</f>
        <v>272.81044005646777</v>
      </c>
    </row>
    <row r="12" spans="1:9" x14ac:dyDescent="0.2">
      <c r="A12" s="39" t="s">
        <v>59</v>
      </c>
      <c r="B12" s="39" t="str">
        <f>VLOOKUP(A12,Tableau_REF_Risques[],2,FALSE)</f>
        <v>Compromission du réseau via l'installation d'une application infectée</v>
      </c>
      <c r="C12" s="39">
        <f>_xlfn.MAXIFS(Tableau_REF_SMSR[Vrais Retenue],Tableau_REF_SMSR['#SM],Tableau_REF_SMMS[[#This Row],['#SM]])</f>
        <v>3</v>
      </c>
      <c r="D12" s="66" t="s">
        <v>279</v>
      </c>
      <c r="E12" s="39" t="str">
        <f>VLOOKUP(D12,Tableau_REF_Mesures[],2,FALSE)</f>
        <v>Solution de contrôle de configuration technique (ex Puppet,Ansible)</v>
      </c>
      <c r="F12" s="143">
        <v>0.17241379310344829</v>
      </c>
      <c r="G12" s="143">
        <f>IFERROR(VLOOKUP(Tableau_REF_SMMS[[#This Row],['#MS]],Tableau_REC_Mesures[#All],6,FALSE),0)</f>
        <v>0</v>
      </c>
      <c r="H12" s="144">
        <f>IF(VLOOKUP(D12,Tableau_REF_Mesures[],3,FALSE)="OUI",F12+(F12*G12),0)</f>
        <v>0.17241379310344829</v>
      </c>
      <c r="I12" s="79">
        <f>VLOOKUP(D12,Tableau_REF_Mesures[],8,FALSE)*H12/IF(VLOOKUP(D12,Tableau_REF_Mesures[],6,FALSE)&gt;0,VLOOKUP(D12,Tableau_REF_Mesures[],6,FALSE),1)</f>
        <v>4801.8015904768763</v>
      </c>
    </row>
    <row r="13" spans="1:9" x14ac:dyDescent="0.2">
      <c r="A13" s="39" t="s">
        <v>59</v>
      </c>
      <c r="B13" s="39" t="str">
        <f>VLOOKUP(A13,Tableau_REF_Risques[],2,FALSE)</f>
        <v>Compromission du réseau via l'installation d'une application infectée</v>
      </c>
      <c r="C13" s="39">
        <f>_xlfn.MAXIFS(Tableau_REF_SMSR[Vrais Retenue],Tableau_REF_SMSR['#SM],Tableau_REF_SMMS[[#This Row],['#SM]])</f>
        <v>3</v>
      </c>
      <c r="D13" s="66" t="s">
        <v>282</v>
      </c>
      <c r="E13" s="39" t="str">
        <f>VLOOKUP(D13,Tableau_REF_Mesures[],2,FALSE)</f>
        <v>Service de supervision de sécurité (SOC)</v>
      </c>
      <c r="F13" s="143">
        <v>0.10344827586206896</v>
      </c>
      <c r="G13" s="143">
        <f>IFERROR(VLOOKUP(Tableau_REF_SMMS[[#This Row],['#MS]],Tableau_REC_Mesures[#All],6,FALSE),0)</f>
        <v>0</v>
      </c>
      <c r="H13" s="144">
        <f>IF(VLOOKUP(D13,Tableau_REF_Mesures[],3,FALSE)="OUI",F13+(F13*G13),0)</f>
        <v>0.10344827586206896</v>
      </c>
      <c r="I13" s="79">
        <f>VLOOKUP(D13,Tableau_REF_Mesures[],8,FALSE)*H13/IF(VLOOKUP(D13,Tableau_REF_Mesures[],6,FALSE)&gt;0,VLOOKUP(D13,Tableau_REF_Mesures[],6,FALSE),1)</f>
        <v>3260.6263751081701</v>
      </c>
    </row>
    <row r="14" spans="1:9" x14ac:dyDescent="0.2">
      <c r="A14" s="39" t="s">
        <v>59</v>
      </c>
      <c r="B14" s="39" t="str">
        <f>VLOOKUP(A14,Tableau_REF_Risques[],2,FALSE)</f>
        <v>Compromission du réseau via l'installation d'une application infectée</v>
      </c>
      <c r="C14" s="39">
        <f>_xlfn.MAXIFS(Tableau_REF_SMSR[Vrais Retenue],Tableau_REF_SMSR['#SM],Tableau_REF_SMMS[[#This Row],['#SM]])</f>
        <v>3</v>
      </c>
      <c r="D14" s="66" t="s">
        <v>283</v>
      </c>
      <c r="E14" s="39" t="str">
        <f>VLOOKUP(D14,Tableau_REF_Mesures[],2,FALSE)</f>
        <v>Service de gestion des solutions de sécurité</v>
      </c>
      <c r="F14" s="143">
        <v>0.10344827586206896</v>
      </c>
      <c r="G14" s="143">
        <f>IFERROR(VLOOKUP(Tableau_REF_SMMS[[#This Row],['#MS]],Tableau_REC_Mesures[#All],6,FALSE),0)</f>
        <v>0</v>
      </c>
      <c r="H14" s="144">
        <f>IF(VLOOKUP(D14,Tableau_REF_Mesures[],3,FALSE)="OUI",F14+(F14*G14),0)</f>
        <v>0.10344827586206896</v>
      </c>
      <c r="I14" s="79"/>
    </row>
    <row r="15" spans="1:9" x14ac:dyDescent="0.2">
      <c r="A15" s="39" t="s">
        <v>58</v>
      </c>
      <c r="B15" s="39" t="str">
        <f>VLOOKUP(A15,Tableau_REF_Risques[],2,FALSE)</f>
        <v>Compromission du réseau via l'utilisation d'identifiants volés</v>
      </c>
      <c r="C15" s="39">
        <f>_xlfn.MAXIFS(Tableau_REF_SMSR[Vrais Retenue],Tableau_REF_SMSR['#SM],Tableau_REF_SMMS[[#This Row],['#SM]])</f>
        <v>4</v>
      </c>
      <c r="D15" s="66" t="s">
        <v>262</v>
      </c>
      <c r="E15" s="39" t="str">
        <f>VLOOKUP(D15,Tableau_REF_Mesures[],2,FALSE)</f>
        <v>Sondes spécialisées IDPS (Détection &amp; Prévention d'intrusion)</v>
      </c>
      <c r="F15" s="143">
        <v>0.12820512820512822</v>
      </c>
      <c r="G15" s="143">
        <f>IFERROR(VLOOKUP(Tableau_REF_SMMS[[#This Row],['#MS]],Tableau_REC_Mesures[#All],6,FALSE),0)</f>
        <v>0.8</v>
      </c>
      <c r="H15" s="144">
        <f>IF(VLOOKUP(D15,Tableau_REF_Mesures[],3,FALSE)="OUI",F15+(F15*G15),0)</f>
        <v>0.23076923076923081</v>
      </c>
      <c r="I15" s="79">
        <f>VLOOKUP(D15,Tableau_REF_Mesures[],8,FALSE)*H15/IF(VLOOKUP(D15,Tableau_REF_Mesures[],6,FALSE)&gt;0,VLOOKUP(D15,Tableau_REF_Mesures[],6,FALSE),1)</f>
        <v>5382.5313483924574</v>
      </c>
    </row>
    <row r="16" spans="1:9" x14ac:dyDescent="0.2">
      <c r="A16" s="39" t="s">
        <v>58</v>
      </c>
      <c r="B16" s="39" t="str">
        <f>VLOOKUP(A16,Tableau_REF_Risques[],2,FALSE)</f>
        <v>Compromission du réseau via l'utilisation d'identifiants volés</v>
      </c>
      <c r="C16" s="39">
        <f>_xlfn.MAXIFS(Tableau_REF_SMSR[Vrais Retenue],Tableau_REF_SMSR['#SM],Tableau_REF_SMMS[[#This Row],['#SM]])</f>
        <v>4</v>
      </c>
      <c r="D16" s="66" t="s">
        <v>249</v>
      </c>
      <c r="E16" s="39" t="str">
        <f>VLOOKUP(D16,Tableau_REF_Mesures[],2,FALSE)</f>
        <v>Solution d'accès distants (VPN utilisateurs Nomades)</v>
      </c>
      <c r="F16" s="143">
        <v>5.1282051282051287E-2</v>
      </c>
      <c r="G16" s="143">
        <f>IFERROR(VLOOKUP(Tableau_REF_SMMS[[#This Row],['#MS]],Tableau_REC_Mesures[#All],6,FALSE),0)</f>
        <v>0.8</v>
      </c>
      <c r="H16" s="144">
        <f>IF(VLOOKUP(D16,Tableau_REF_Mesures[],3,FALSE)="OUI",F16+(F16*G16),0)</f>
        <v>9.2307692307692313E-2</v>
      </c>
      <c r="I16" s="79">
        <f>VLOOKUP(D16,Tableau_REF_Mesures[],8,FALSE)*H16/IF(VLOOKUP(D16,Tableau_REF_Mesures[],6,FALSE)&gt;0,VLOOKUP(D16,Tableau_REF_Mesures[],6,FALSE),1)</f>
        <v>19308.711203785391</v>
      </c>
    </row>
    <row r="17" spans="1:12" x14ac:dyDescent="0.2">
      <c r="A17" s="39" t="s">
        <v>58</v>
      </c>
      <c r="B17" s="39" t="str">
        <f>VLOOKUP(A17,Tableau_REF_Risques[],2,FALSE)</f>
        <v>Compromission du réseau via l'utilisation d'identifiants volés</v>
      </c>
      <c r="C17" s="39">
        <f>_xlfn.MAXIFS(Tableau_REF_SMSR[Vrais Retenue],Tableau_REF_SMSR['#SM],Tableau_REF_SMMS[[#This Row],['#SM]])</f>
        <v>4</v>
      </c>
      <c r="D17" s="66" t="s">
        <v>263</v>
      </c>
      <c r="E17" s="39" t="str">
        <f>VLOOKUP(D17,Tableau_REF_Mesures[],2,FALSE)</f>
        <v>Solution de cybersurveillance</v>
      </c>
      <c r="F17" s="143">
        <v>0.17948717948717949</v>
      </c>
      <c r="G17" s="143">
        <f>IFERROR(VLOOKUP(Tableau_REF_SMMS[[#This Row],['#MS]],Tableau_REC_Mesures[#All],6,FALSE),0)</f>
        <v>0</v>
      </c>
      <c r="H17" s="144">
        <f>IF(VLOOKUP(D17,Tableau_REF_Mesures[],3,FALSE)="OUI",F17+(F17*G17),0)</f>
        <v>0.17948717948717949</v>
      </c>
      <c r="I17" s="79">
        <f>VLOOKUP(D17,Tableau_REF_Mesures[],8,FALSE)*H17/IF(VLOOKUP(D17,Tableau_REF_Mesures[],6,FALSE)&gt;0,VLOOKUP(D17,Tableau_REF_Mesures[],6,FALSE),1)</f>
        <v>56000</v>
      </c>
    </row>
    <row r="18" spans="1:12" x14ac:dyDescent="0.2">
      <c r="A18" s="39" t="s">
        <v>58</v>
      </c>
      <c r="B18" s="39" t="str">
        <f>VLOOKUP(A18,Tableau_REF_Risques[],2,FALSE)</f>
        <v>Compromission du réseau via l'utilisation d'identifiants volés</v>
      </c>
      <c r="C18" s="39">
        <f>_xlfn.MAXIFS(Tableau_REF_SMSR[Vrais Retenue],Tableau_REF_SMSR['#SM],Tableau_REF_SMMS[[#This Row],['#SM]])</f>
        <v>4</v>
      </c>
      <c r="D18" s="66" t="s">
        <v>264</v>
      </c>
      <c r="E18" s="39" t="str">
        <f>VLOOKUP(D18,Tableau_REF_Mesures[],2,FALSE)</f>
        <v>Solution de gestion des identités et de contrôle d'accès</v>
      </c>
      <c r="F18" s="143">
        <v>0.17948717948717949</v>
      </c>
      <c r="G18" s="143">
        <f>IFERROR(VLOOKUP(Tableau_REF_SMMS[[#This Row],['#MS]],Tableau_REC_Mesures[#All],6,FALSE),0)</f>
        <v>0</v>
      </c>
      <c r="H18" s="144">
        <f>IF(VLOOKUP(D18,Tableau_REF_Mesures[],3,FALSE)="OUI",F18+(F18*G18),0)</f>
        <v>0.17948717948717949</v>
      </c>
      <c r="I18" s="79">
        <f>VLOOKUP(D18,Tableau_REF_Mesures[],8,FALSE)*H18/IF(VLOOKUP(D18,Tableau_REF_Mesures[],6,FALSE)&gt;0,VLOOKUP(D18,Tableau_REF_Mesures[],6,FALSE),1)</f>
        <v>10445.721722155948</v>
      </c>
    </row>
    <row r="19" spans="1:12" x14ac:dyDescent="0.2">
      <c r="A19" s="39" t="s">
        <v>58</v>
      </c>
      <c r="B19" s="39" t="str">
        <f>VLOOKUP(A19,Tableau_REF_Risques[],2,FALSE)</f>
        <v>Compromission du réseau via l'utilisation d'identifiants volés</v>
      </c>
      <c r="C19" s="39">
        <f>_xlfn.MAXIFS(Tableau_REF_SMSR[Vrais Retenue],Tableau_REF_SMSR['#SM],Tableau_REF_SMMS[[#This Row],['#SM]])</f>
        <v>4</v>
      </c>
      <c r="D19" s="66" t="s">
        <v>275</v>
      </c>
      <c r="E19" s="39" t="str">
        <f>VLOOKUP(D19,Tableau_REF_Mesures[],2,FALSE)</f>
        <v>Solution de gestion des comptes à privilèges (PAM)</v>
      </c>
      <c r="F19" s="143">
        <v>0.17948717948717949</v>
      </c>
      <c r="G19" s="143">
        <f>IFERROR(VLOOKUP(Tableau_REF_SMMS[[#This Row],['#MS]],Tableau_REC_Mesures[#All],6,FALSE),0)</f>
        <v>0</v>
      </c>
      <c r="H19" s="144">
        <f>IF(VLOOKUP(D19,Tableau_REF_Mesures[],3,FALSE)="OUI",F19+(F19*G19),0)</f>
        <v>0.17948717948717949</v>
      </c>
      <c r="I19" s="79">
        <f>VLOOKUP(D19,Tableau_REF_Mesures[],8,FALSE)*H19/IF(VLOOKUP(D19,Tableau_REF_Mesures[],6,FALSE)&gt;0,VLOOKUP(D19,Tableau_REF_Mesures[],6,FALSE),1)</f>
        <v>17871.759447379114</v>
      </c>
    </row>
    <row r="20" spans="1:12" x14ac:dyDescent="0.2">
      <c r="A20" s="39" t="s">
        <v>58</v>
      </c>
      <c r="B20" s="39" t="str">
        <f>VLOOKUP(A20,Tableau_REF_Risques[],2,FALSE)</f>
        <v>Compromission du réseau via l'utilisation d'identifiants volés</v>
      </c>
      <c r="C20" s="39">
        <f>_xlfn.MAXIFS(Tableau_REF_SMSR[Vrais Retenue],Tableau_REF_SMSR['#SM],Tableau_REF_SMMS[[#This Row],['#SM]])</f>
        <v>4</v>
      </c>
      <c r="D20" s="66" t="s">
        <v>278</v>
      </c>
      <c r="E20" s="39" t="str">
        <f>VLOOKUP(D20,Tableau_REF_Mesures[],2,FALSE)</f>
        <v>Solution de collecte et de traitement des événements (SIEM)</v>
      </c>
      <c r="F20" s="143">
        <v>5.1282051282051287E-2</v>
      </c>
      <c r="G20" s="143">
        <f>IFERROR(VLOOKUP(Tableau_REF_SMMS[[#This Row],['#MS]],Tableau_REC_Mesures[#All],6,FALSE),0)</f>
        <v>0</v>
      </c>
      <c r="H20" s="144">
        <f>IF(VLOOKUP(D20,Tableau_REF_Mesures[],3,FALSE)="OUI",F20+(F20*G20),0)</f>
        <v>5.1282051282051287E-2</v>
      </c>
      <c r="I20" s="79">
        <f>VLOOKUP(D20,Tableau_REF_Mesures[],8,FALSE)*H20/IF(VLOOKUP(D20,Tableau_REF_Mesures[],6,FALSE)&gt;0,VLOOKUP(D20,Tableau_REF_Mesures[],6,FALSE),1)</f>
        <v>202.85904517019404</v>
      </c>
    </row>
    <row r="21" spans="1:12" x14ac:dyDescent="0.2">
      <c r="A21" s="39" t="s">
        <v>58</v>
      </c>
      <c r="B21" s="39" t="str">
        <f>VLOOKUP(A21,Tableau_REF_Risques[],2,FALSE)</f>
        <v>Compromission du réseau via l'utilisation d'identifiants volés</v>
      </c>
      <c r="C21" s="39">
        <f>_xlfn.MAXIFS(Tableau_REF_SMSR[Vrais Retenue],Tableau_REF_SMSR['#SM],Tableau_REF_SMMS[[#This Row],['#SM]])</f>
        <v>4</v>
      </c>
      <c r="D21" s="66" t="s">
        <v>282</v>
      </c>
      <c r="E21" s="39" t="str">
        <f>VLOOKUP(D21,Tableau_REF_Mesures[],2,FALSE)</f>
        <v>Service de supervision de sécurité (SOC)</v>
      </c>
      <c r="F21" s="143">
        <v>7.6923076923076927E-2</v>
      </c>
      <c r="G21" s="143">
        <f>IFERROR(VLOOKUP(Tableau_REF_SMMS[[#This Row],['#MS]],Tableau_REC_Mesures[#All],6,FALSE),0)</f>
        <v>0</v>
      </c>
      <c r="H21" s="144">
        <f>IF(VLOOKUP(D21,Tableau_REF_Mesures[],3,FALSE)="OUI",F21+(F21*G21),0)</f>
        <v>7.6923076923076927E-2</v>
      </c>
      <c r="I21" s="79">
        <f>VLOOKUP(D21,Tableau_REF_Mesures[],8,FALSE)*H21/IF(VLOOKUP(D21,Tableau_REF_Mesures[],6,FALSE)&gt;0,VLOOKUP(D21,Tableau_REF_Mesures[],6,FALSE),1)</f>
        <v>2424.5683302086395</v>
      </c>
    </row>
    <row r="22" spans="1:12" x14ac:dyDescent="0.2">
      <c r="A22" s="39" t="s">
        <v>58</v>
      </c>
      <c r="B22" s="39" t="str">
        <f>VLOOKUP(A22,Tableau_REF_Risques[],2,FALSE)</f>
        <v>Compromission du réseau via l'utilisation d'identifiants volés</v>
      </c>
      <c r="C22" s="39">
        <f>_xlfn.MAXIFS(Tableau_REF_SMSR[Vrais Retenue],Tableau_REF_SMSR['#SM],Tableau_REF_SMMS[[#This Row],['#SM]])</f>
        <v>4</v>
      </c>
      <c r="D22" s="66" t="s">
        <v>283</v>
      </c>
      <c r="E22" s="39" t="str">
        <f>VLOOKUP(D22,Tableau_REF_Mesures[],2,FALSE)</f>
        <v>Service de gestion des solutions de sécurité</v>
      </c>
      <c r="F22" s="143">
        <v>7.6923076923076927E-2</v>
      </c>
      <c r="G22" s="143">
        <f>IFERROR(VLOOKUP(Tableau_REF_SMMS[[#This Row],['#MS]],Tableau_REC_Mesures[#All],6,FALSE),0)</f>
        <v>0</v>
      </c>
      <c r="H22" s="144">
        <f>IF(VLOOKUP(D22,Tableau_REF_Mesures[],3,FALSE)="OUI",F22+(F22*G22),0)</f>
        <v>7.6923076923076927E-2</v>
      </c>
      <c r="I22" s="79"/>
    </row>
    <row r="23" spans="1:12" x14ac:dyDescent="0.2">
      <c r="A23" s="39" t="s">
        <v>58</v>
      </c>
      <c r="B23" s="39" t="str">
        <f>VLOOKUP(A23,Tableau_REF_Risques[],2,FALSE)</f>
        <v>Compromission du réseau via l'utilisation d'identifiants volés</v>
      </c>
      <c r="C23" s="39">
        <f>_xlfn.MAXIFS(Tableau_REF_SMSR[Vrais Retenue],Tableau_REF_SMSR['#SM],Tableau_REF_SMMS[[#This Row],['#SM]])</f>
        <v>4</v>
      </c>
      <c r="D23" s="66" t="s">
        <v>284</v>
      </c>
      <c r="E23" s="39" t="str">
        <f>VLOOKUP(D23,Tableau_REF_Mesures[],2,FALSE)</f>
        <v>Service de Veille et de réponse à incidents (CERT/CSIRT)</v>
      </c>
      <c r="F23" s="143">
        <v>7.6923076923076927E-2</v>
      </c>
      <c r="G23" s="143">
        <f>IFERROR(VLOOKUP(Tableau_REF_SMMS[[#This Row],['#MS]],Tableau_REC_Mesures[#All],6,FALSE),0)</f>
        <v>0</v>
      </c>
      <c r="H23" s="144">
        <f>IF(VLOOKUP(D23,Tableau_REF_Mesures[],3,FALSE)="OUI",F23+(F23*G23),0)</f>
        <v>7.6923076923076927E-2</v>
      </c>
      <c r="I23" s="79">
        <f>VLOOKUP(D23,Tableau_REF_Mesures[],8,FALSE)*H23/IF(VLOOKUP(D23,Tableau_REF_Mesures[],6,FALSE)&gt;0,VLOOKUP(D23,Tableau_REF_Mesures[],6,FALSE),1)</f>
        <v>4913.7816590050379</v>
      </c>
    </row>
    <row r="24" spans="1:12" x14ac:dyDescent="0.2">
      <c r="A24" s="39" t="s">
        <v>57</v>
      </c>
      <c r="B24" s="39" t="str">
        <f>VLOOKUP(A24,Tableau_REF_Risques[],2,FALSE)</f>
        <v>Compromission du réseau via une interconnexion partenaire (VPN)</v>
      </c>
      <c r="C24" s="39">
        <f>_xlfn.MAXIFS(Tableau_REF_SMSR[Vrais Retenue],Tableau_REF_SMSR['#SM],Tableau_REF_SMMS[[#This Row],['#SM]])</f>
        <v>3</v>
      </c>
      <c r="D24" s="66" t="s">
        <v>241</v>
      </c>
      <c r="E24" s="39" t="str">
        <f>VLOOKUP(D24,Tableau_REF_Mesures[],2,FALSE)</f>
        <v>Solution de pare-feu (élémentaire)</v>
      </c>
      <c r="F24" s="143">
        <v>8.0000000000000016E-2</v>
      </c>
      <c r="G24" s="143">
        <f>IFERROR(VLOOKUP(Tableau_REF_SMMS[[#This Row],['#MS]],Tableau_REC_Mesures[#All],6,FALSE),0)</f>
        <v>0</v>
      </c>
      <c r="H24" s="144">
        <f>IF(VLOOKUP(D24,Tableau_REF_Mesures[],3,FALSE)="OUI",F24+(F24*G24),0)</f>
        <v>0</v>
      </c>
      <c r="I24" s="79">
        <f>VLOOKUP(D24,Tableau_REF_Mesures[],8,FALSE)*H24/IF(VLOOKUP(D24,Tableau_REF_Mesures[],6,FALSE)&gt;0,VLOOKUP(D24,Tableau_REF_Mesures[],6,FALSE),1)</f>
        <v>0</v>
      </c>
      <c r="K24" s="66"/>
    </row>
    <row r="25" spans="1:12" x14ac:dyDescent="0.2">
      <c r="A25" s="39" t="s">
        <v>57</v>
      </c>
      <c r="B25" s="39" t="str">
        <f>VLOOKUP(A25,Tableau_REF_Risques[],2,FALSE)</f>
        <v>Compromission du réseau via une interconnexion partenaire (VPN)</v>
      </c>
      <c r="C25" s="39">
        <f>_xlfn.MAXIFS(Tableau_REF_SMSR[Vrais Retenue],Tableau_REF_SMSR['#SM],Tableau_REF_SMMS[[#This Row],['#SM]])</f>
        <v>3</v>
      </c>
      <c r="D25" s="66" t="s">
        <v>243</v>
      </c>
      <c r="E25" s="39" t="str">
        <f>VLOOKUP(D25,Tableau_REF_Mesures[],2,FALSE)</f>
        <v>Solution de pare-feu (intermédiaire)</v>
      </c>
      <c r="F25" s="143">
        <v>0.28000000000000003</v>
      </c>
      <c r="G25" s="143">
        <f>IFERROR(VLOOKUP(Tableau_REF_SMMS[[#This Row],['#MS]],Tableau_REC_Mesures[#All],6,FALSE),0)</f>
        <v>0</v>
      </c>
      <c r="H25" s="144">
        <f>IF(VLOOKUP(D25,Tableau_REF_Mesures[],3,FALSE)="OUI",F25+(F25*G25),0)</f>
        <v>0</v>
      </c>
      <c r="I25" s="79">
        <f>VLOOKUP(D25,Tableau_REF_Mesures[],8,FALSE)*H25/IF(VLOOKUP(D25,Tableau_REF_Mesures[],6,FALSE)&gt;0,VLOOKUP(D25,Tableau_REF_Mesures[],6,FALSE),1)</f>
        <v>0</v>
      </c>
      <c r="K25" s="66"/>
      <c r="L25" s="113"/>
    </row>
    <row r="26" spans="1:12" x14ac:dyDescent="0.2">
      <c r="A26" s="39" t="s">
        <v>57</v>
      </c>
      <c r="B26" s="39" t="str">
        <f>VLOOKUP(A26,Tableau_REF_Risques[],2,FALSE)</f>
        <v>Compromission du réseau via une interconnexion partenaire (VPN)</v>
      </c>
      <c r="C26" s="39">
        <f>_xlfn.MAXIFS(Tableau_REF_SMSR[Vrais Retenue],Tableau_REF_SMSR['#SM],Tableau_REF_SMMS[[#This Row],['#SM]])</f>
        <v>3</v>
      </c>
      <c r="D26" s="147" t="s">
        <v>245</v>
      </c>
      <c r="E26" s="39" t="str">
        <f>VLOOKUP(D26,Tableau_REF_Mesures[],2,FALSE)</f>
        <v>Solution de pare-feu (avancé)</v>
      </c>
      <c r="F26" s="143">
        <v>0.28000000000000003</v>
      </c>
      <c r="G26" s="143">
        <f>IFERROR(VLOOKUP(Tableau_REF_SMMS[[#This Row],['#MS]],Tableau_REC_Mesures[#All],6,FALSE),0)</f>
        <v>0</v>
      </c>
      <c r="H26" s="144">
        <f>IF(VLOOKUP(D26,Tableau_REF_Mesures[],3,FALSE)="OUI",F26+(F26*G26),0)</f>
        <v>0.28000000000000003</v>
      </c>
      <c r="I26" s="79">
        <f>VLOOKUP(D26,Tableau_REF_Mesures[],8,FALSE)*H26/IF(VLOOKUP(D26,Tableau_REF_Mesures[],6,FALSE)&gt;0,VLOOKUP(D26,Tableau_REF_Mesures[],6,FALSE),1)</f>
        <v>3658.6549540660289</v>
      </c>
      <c r="K26" s="66"/>
      <c r="L26" s="113"/>
    </row>
    <row r="27" spans="1:12" x14ac:dyDescent="0.2">
      <c r="A27" s="39" t="s">
        <v>57</v>
      </c>
      <c r="B27" s="39" t="str">
        <f>VLOOKUP(A27,Tableau_REF_Risques[],2,FALSE)</f>
        <v>Compromission du réseau via une interconnexion partenaire (VPN)</v>
      </c>
      <c r="C27" s="39">
        <f>_xlfn.MAXIFS(Tableau_REF_SMSR[Vrais Retenue],Tableau_REF_SMSR['#SM],Tableau_REF_SMMS[[#This Row],['#SM]])</f>
        <v>3</v>
      </c>
      <c r="D27" s="66" t="s">
        <v>262</v>
      </c>
      <c r="E27" s="39" t="str">
        <f>VLOOKUP(D27,Tableau_REF_Mesures[],2,FALSE)</f>
        <v>Sondes spécialisées IDPS (Détection &amp; Prévention d'intrusion)</v>
      </c>
      <c r="F27" s="143">
        <v>0.20000000000000004</v>
      </c>
      <c r="G27" s="143">
        <f>IFERROR(VLOOKUP(Tableau_REF_SMMS[[#This Row],['#MS]],Tableau_REC_Mesures[#All],6,FALSE),0)</f>
        <v>0.8</v>
      </c>
      <c r="H27" s="144">
        <f>IF(VLOOKUP(D27,Tableau_REF_Mesures[],3,FALSE)="OUI",F27+(F27*G27),0)</f>
        <v>0.3600000000000001</v>
      </c>
      <c r="I27" s="79">
        <f>VLOOKUP(D27,Tableau_REF_Mesures[],8,FALSE)*H27/IF(VLOOKUP(D27,Tableau_REF_Mesures[],6,FALSE)&gt;0,VLOOKUP(D27,Tableau_REF_Mesures[],6,FALSE),1)</f>
        <v>8396.7489034922328</v>
      </c>
      <c r="K27" s="66"/>
      <c r="L27" s="113"/>
    </row>
    <row r="28" spans="1:12" x14ac:dyDescent="0.2">
      <c r="A28" s="39" t="s">
        <v>57</v>
      </c>
      <c r="B28" s="39" t="str">
        <f>VLOOKUP(A28,Tableau_REF_Risques[],2,FALSE)</f>
        <v>Compromission du réseau via une interconnexion partenaire (VPN)</v>
      </c>
      <c r="C28" s="39">
        <f>_xlfn.MAXIFS(Tableau_REF_SMSR[Vrais Retenue],Tableau_REF_SMSR['#SM],Tableau_REF_SMMS[[#This Row],['#SM]])</f>
        <v>3</v>
      </c>
      <c r="D28" s="66" t="s">
        <v>278</v>
      </c>
      <c r="E28" s="39" t="str">
        <f>VLOOKUP(D28,Tableau_REF_Mesures[],2,FALSE)</f>
        <v>Solution de collecte et de traitement des événements (SIEM)</v>
      </c>
      <c r="F28" s="143">
        <v>8.0000000000000016E-2</v>
      </c>
      <c r="G28" s="143">
        <f>IFERROR(VLOOKUP(Tableau_REF_SMMS[[#This Row],['#MS]],Tableau_REC_Mesures[#All],6,FALSE),0)</f>
        <v>0</v>
      </c>
      <c r="H28" s="144">
        <f>IF(VLOOKUP(D28,Tableau_REF_Mesures[],3,FALSE)="OUI",F28+(F28*G28),0)</f>
        <v>8.0000000000000016E-2</v>
      </c>
      <c r="I28" s="79">
        <f>VLOOKUP(D28,Tableau_REF_Mesures[],8,FALSE)*H28/IF(VLOOKUP(D28,Tableau_REF_Mesures[],6,FALSE)&gt;0,VLOOKUP(D28,Tableau_REF_Mesures[],6,FALSE),1)</f>
        <v>316.46011046550274</v>
      </c>
      <c r="K28" s="66"/>
      <c r="L28" s="113"/>
    </row>
    <row r="29" spans="1:12" x14ac:dyDescent="0.2">
      <c r="A29" s="39" t="s">
        <v>57</v>
      </c>
      <c r="B29" s="39" t="str">
        <f>VLOOKUP(A29,Tableau_REF_Risques[],2,FALSE)</f>
        <v>Compromission du réseau via une interconnexion partenaire (VPN)</v>
      </c>
      <c r="C29" s="39">
        <f>_xlfn.MAXIFS(Tableau_REF_SMSR[Vrais Retenue],Tableau_REF_SMSR['#SM],Tableau_REF_SMMS[[#This Row],['#SM]])</f>
        <v>3</v>
      </c>
      <c r="D29" s="66" t="s">
        <v>282</v>
      </c>
      <c r="E29" s="39" t="str">
        <f>VLOOKUP(D29,Tableau_REF_Mesures[],2,FALSE)</f>
        <v>Service de supervision de sécurité (SOC)</v>
      </c>
      <c r="F29" s="143">
        <v>0.12000000000000002</v>
      </c>
      <c r="G29" s="143">
        <f>IFERROR(VLOOKUP(Tableau_REF_SMMS[[#This Row],['#MS]],Tableau_REC_Mesures[#All],6,FALSE),0)</f>
        <v>0</v>
      </c>
      <c r="H29" s="144">
        <f>IF(VLOOKUP(D29,Tableau_REF_Mesures[],3,FALSE)="OUI",F29+(F29*G29),0)</f>
        <v>0.12000000000000002</v>
      </c>
      <c r="I29" s="79">
        <f>VLOOKUP(D29,Tableau_REF_Mesures[],8,FALSE)*H29/IF(VLOOKUP(D29,Tableau_REF_Mesures[],6,FALSE)&gt;0,VLOOKUP(D29,Tableau_REF_Mesures[],6,FALSE),1)</f>
        <v>3782.3265951254784</v>
      </c>
      <c r="K29" s="66"/>
      <c r="L29" s="113"/>
    </row>
    <row r="30" spans="1:12" x14ac:dyDescent="0.2">
      <c r="A30" s="39" t="s">
        <v>57</v>
      </c>
      <c r="B30" s="39" t="str">
        <f>VLOOKUP(A30,Tableau_REF_Risques[],2,FALSE)</f>
        <v>Compromission du réseau via une interconnexion partenaire (VPN)</v>
      </c>
      <c r="C30" s="39">
        <f>_xlfn.MAXIFS(Tableau_REF_SMSR[Vrais Retenue],Tableau_REF_SMSR['#SM],Tableau_REF_SMMS[[#This Row],['#SM]])</f>
        <v>3</v>
      </c>
      <c r="D30" s="66" t="s">
        <v>283</v>
      </c>
      <c r="E30" s="39" t="str">
        <f>VLOOKUP(D30,Tableau_REF_Mesures[],2,FALSE)</f>
        <v>Service de gestion des solutions de sécurité</v>
      </c>
      <c r="F30" s="143">
        <v>0.12000000000000002</v>
      </c>
      <c r="G30" s="143">
        <f>IFERROR(VLOOKUP(Tableau_REF_SMMS[[#This Row],['#MS]],Tableau_REC_Mesures[#All],6,FALSE),0)</f>
        <v>0</v>
      </c>
      <c r="H30" s="144">
        <f>IF(VLOOKUP(D30,Tableau_REF_Mesures[],3,FALSE)="OUI",F30+(F30*G30),0)</f>
        <v>0.12000000000000002</v>
      </c>
      <c r="I30" s="79"/>
      <c r="K30" s="66"/>
      <c r="L30" s="113"/>
    </row>
    <row r="31" spans="1:12" x14ac:dyDescent="0.2">
      <c r="A31" s="39" t="s">
        <v>57</v>
      </c>
      <c r="B31" s="39" t="str">
        <f>VLOOKUP(A31,Tableau_REF_Risques[],2,FALSE)</f>
        <v>Compromission du réseau via une interconnexion partenaire (VPN)</v>
      </c>
      <c r="C31" s="39">
        <f>_xlfn.MAXIFS(Tableau_REF_SMSR[Vrais Retenue],Tableau_REF_SMSR['#SM],Tableau_REF_SMMS[[#This Row],['#SM]])</f>
        <v>3</v>
      </c>
      <c r="D31" s="66" t="s">
        <v>284</v>
      </c>
      <c r="E31" s="39" t="str">
        <f>VLOOKUP(D31,Tableau_REF_Mesures[],2,FALSE)</f>
        <v>Service de Veille et de réponse à incidents (CERT/CSIRT)</v>
      </c>
      <c r="F31" s="143">
        <v>0.12000000000000002</v>
      </c>
      <c r="G31" s="143">
        <f>IFERROR(VLOOKUP(Tableau_REF_SMMS[[#This Row],['#MS]],Tableau_REC_Mesures[#All],6,FALSE),0)</f>
        <v>0</v>
      </c>
      <c r="H31" s="144">
        <f>IF(VLOOKUP(D31,Tableau_REF_Mesures[],3,FALSE)="OUI",F31+(F31*G31),0)</f>
        <v>0.12000000000000002</v>
      </c>
      <c r="I31" s="79">
        <f>VLOOKUP(D31,Tableau_REF_Mesures[],8,FALSE)*H31/IF(VLOOKUP(D31,Tableau_REF_Mesures[],6,FALSE)&gt;0,VLOOKUP(D31,Tableau_REF_Mesures[],6,FALSE),1)</f>
        <v>7665.4993880478596</v>
      </c>
      <c r="K31" s="66"/>
      <c r="L31" s="113"/>
    </row>
    <row r="32" spans="1:12" x14ac:dyDescent="0.2">
      <c r="A32" s="39" t="s">
        <v>56</v>
      </c>
      <c r="B32" s="39" t="str">
        <f>VLOOKUP(A32,Tableau_REF_Risques[],2,FALSE)</f>
        <v>Compromission d'un poste via une clé USB infectée</v>
      </c>
      <c r="C32" s="39">
        <f>_xlfn.MAXIFS(Tableau_REF_SMSR[Vrais Retenue],Tableau_REF_SMSR['#SM],Tableau_REF_SMMS[[#This Row],['#SM]])</f>
        <v>3</v>
      </c>
      <c r="D32" s="66" t="s">
        <v>271</v>
      </c>
      <c r="E32" s="39" t="str">
        <f>VLOOKUP(D32,Tableau_REF_Mesures[],2,FALSE)</f>
        <v>Solution de gestion des terminaux (MDM)</v>
      </c>
      <c r="F32" s="143">
        <v>0.11363636363636363</v>
      </c>
      <c r="G32" s="143">
        <f>IFERROR(VLOOKUP(Tableau_REF_SMMS[[#This Row],['#MS]],Tableau_REC_Mesures[#All],6,FALSE),0)</f>
        <v>0</v>
      </c>
      <c r="H32" s="144">
        <f>IF(VLOOKUP(D32,Tableau_REF_Mesures[],3,FALSE)="OUI",F32+(F32*G32),0)</f>
        <v>0.11363636363636363</v>
      </c>
      <c r="I32" s="79">
        <f>VLOOKUP(D32,Tableau_REF_Mesures[],8,FALSE)*H32/IF(VLOOKUP(D32,Tableau_REF_Mesures[],6,FALSE)&gt;0,VLOOKUP(D32,Tableau_REF_Mesures[],6,FALSE),1)</f>
        <v>9427.5879653238135</v>
      </c>
      <c r="K32" s="66"/>
    </row>
    <row r="33" spans="1:17" x14ac:dyDescent="0.2">
      <c r="A33" s="39" t="s">
        <v>56</v>
      </c>
      <c r="B33" s="39" t="str">
        <f>VLOOKUP(A33,Tableau_REF_Risques[],2,FALSE)</f>
        <v>Compromission d'un poste via une clé USB infectée</v>
      </c>
      <c r="C33" s="39">
        <f>_xlfn.MAXIFS(Tableau_REF_SMSR[Vrais Retenue],Tableau_REF_SMSR['#SM],Tableau_REF_SMMS[[#This Row],['#SM]])</f>
        <v>3</v>
      </c>
      <c r="D33" s="66" t="s">
        <v>272</v>
      </c>
      <c r="E33" s="39" t="str">
        <f>VLOOKUP(D33,Tableau_REF_Mesures[],2,FALSE)</f>
        <v>Solution de protection des terminaux (Antimalware basique)</v>
      </c>
      <c r="F33" s="143">
        <v>6.8181818181818177E-2</v>
      </c>
      <c r="G33" s="143">
        <f>IFERROR(VLOOKUP(Tableau_REF_SMMS[[#This Row],['#MS]],Tableau_REC_Mesures[#All],6,FALSE),0)</f>
        <v>0</v>
      </c>
      <c r="H33" s="144">
        <f>IF(VLOOKUP(D33,Tableau_REF_Mesures[],3,FALSE)="OUI",F33+(F33*G33),0)</f>
        <v>0</v>
      </c>
      <c r="I33" s="79">
        <f>VLOOKUP(D33,Tableau_REF_Mesures[],8,FALSE)*H33/IF(VLOOKUP(D33,Tableau_REF_Mesures[],6,FALSE)&gt;0,VLOOKUP(D33,Tableau_REF_Mesures[],6,FALSE),1)</f>
        <v>0</v>
      </c>
      <c r="K33" s="66"/>
      <c r="L33" s="113"/>
      <c r="M33" s="113"/>
    </row>
    <row r="34" spans="1:17" x14ac:dyDescent="0.2">
      <c r="A34" s="39" t="s">
        <v>56</v>
      </c>
      <c r="B34" s="39" t="str">
        <f>VLOOKUP(A34,Tableau_REF_Risques[],2,FALSE)</f>
        <v>Compromission d'un poste via une clé USB infectée</v>
      </c>
      <c r="C34" s="39">
        <f>_xlfn.MAXIFS(Tableau_REF_SMSR[Vrais Retenue],Tableau_REF_SMSR['#SM],Tableau_REF_SMMS[[#This Row],['#SM]])</f>
        <v>3</v>
      </c>
      <c r="D34" s="66" t="s">
        <v>273</v>
      </c>
      <c r="E34" s="39" t="str">
        <f>VLOOKUP(D34,Tableau_REF_Mesures[],2,FALSE)</f>
        <v>Solution de protection des terminaux (EDR)</v>
      </c>
      <c r="F34" s="143">
        <v>0.25</v>
      </c>
      <c r="G34" s="143">
        <f>IFERROR(VLOOKUP(Tableau_REF_SMMS[[#This Row],['#MS]],Tableau_REC_Mesures[#All],6,FALSE),0)</f>
        <v>0</v>
      </c>
      <c r="H34" s="144">
        <f>IF(VLOOKUP(D34,Tableau_REF_Mesures[],3,FALSE)="OUI",F34+(F34*G34),0)</f>
        <v>0.25</v>
      </c>
      <c r="I34" s="79">
        <f>VLOOKUP(D34,Tableau_REF_Mesures[],8,FALSE)*H34/IF(VLOOKUP(D34,Tableau_REF_Mesures[],6,FALSE)&gt;0,VLOOKUP(D34,Tableau_REF_Mesures[],6,FALSE),1)</f>
        <v>4009.0849489840043</v>
      </c>
      <c r="K34" s="66"/>
      <c r="L34" s="113"/>
      <c r="M34" s="113"/>
    </row>
    <row r="35" spans="1:17" x14ac:dyDescent="0.2">
      <c r="A35" s="39" t="s">
        <v>56</v>
      </c>
      <c r="B35" s="39" t="str">
        <f>VLOOKUP(A35,Tableau_REF_Risques[],2,FALSE)</f>
        <v>Compromission d'un poste via une clé USB infectée</v>
      </c>
      <c r="C35" s="39">
        <f>_xlfn.MAXIFS(Tableau_REF_SMSR[Vrais Retenue],Tableau_REF_SMSR['#SM],Tableau_REF_SMMS[[#This Row],['#SM]])</f>
        <v>3</v>
      </c>
      <c r="D35" s="66" t="s">
        <v>278</v>
      </c>
      <c r="E35" s="39" t="str">
        <f>VLOOKUP(D35,Tableau_REF_Mesures[],2,FALSE)</f>
        <v>Solution de collecte et de traitement des événements (SIEM)</v>
      </c>
      <c r="F35" s="143">
        <v>4.5454545454545456E-2</v>
      </c>
      <c r="G35" s="143">
        <f>IFERROR(VLOOKUP(Tableau_REF_SMMS[[#This Row],['#MS]],Tableau_REC_Mesures[#All],6,FALSE),0)</f>
        <v>0</v>
      </c>
      <c r="H35" s="144">
        <f>IF(VLOOKUP(D35,Tableau_REF_Mesures[],3,FALSE)="OUI",F35+(F35*G35),0)</f>
        <v>4.5454545454545456E-2</v>
      </c>
      <c r="I35" s="79">
        <f>VLOOKUP(D35,Tableau_REF_Mesures[],8,FALSE)*H35/IF(VLOOKUP(D35,Tableau_REF_Mesures[],6,FALSE)&gt;0,VLOOKUP(D35,Tableau_REF_Mesures[],6,FALSE),1)</f>
        <v>179.80688094630833</v>
      </c>
      <c r="K35" s="66"/>
      <c r="L35" s="113"/>
      <c r="M35" s="113"/>
    </row>
    <row r="36" spans="1:17" x14ac:dyDescent="0.2">
      <c r="A36" s="39" t="s">
        <v>56</v>
      </c>
      <c r="B36" s="39" t="str">
        <f>VLOOKUP(A36,Tableau_REF_Risques[],2,FALSE)</f>
        <v>Compromission d'un poste via une clé USB infectée</v>
      </c>
      <c r="C36" s="39">
        <f>_xlfn.MAXIFS(Tableau_REF_SMSR[Vrais Retenue],Tableau_REF_SMSR['#SM],Tableau_REF_SMMS[[#This Row],['#SM]])</f>
        <v>3</v>
      </c>
      <c r="D36" s="66" t="s">
        <v>279</v>
      </c>
      <c r="E36" s="39" t="str">
        <f>VLOOKUP(D36,Tableau_REF_Mesures[],2,FALSE)</f>
        <v>Solution de contrôle de configuration technique (ex Puppet,Ansible)</v>
      </c>
      <c r="F36" s="143">
        <v>0.11363636363636363</v>
      </c>
      <c r="G36" s="143">
        <f>IFERROR(VLOOKUP(Tableau_REF_SMMS[[#This Row],['#MS]],Tableau_REC_Mesures[#All],6,FALSE),0)</f>
        <v>0</v>
      </c>
      <c r="H36" s="144">
        <f>IF(VLOOKUP(D36,Tableau_REF_Mesures[],3,FALSE)="OUI",F36+(F36*G36),0)</f>
        <v>0.11363636363636363</v>
      </c>
      <c r="I36" s="79">
        <f>VLOOKUP(D36,Tableau_REF_Mesures[],8,FALSE)*H36/IF(VLOOKUP(D36,Tableau_REF_Mesures[],6,FALSE)&gt;0,VLOOKUP(D36,Tableau_REF_Mesures[],6,FALSE),1)</f>
        <v>3164.8237755415776</v>
      </c>
      <c r="K36" s="66"/>
      <c r="L36" s="113"/>
      <c r="M36" s="113"/>
    </row>
    <row r="37" spans="1:17" x14ac:dyDescent="0.2">
      <c r="A37" s="39" t="s">
        <v>56</v>
      </c>
      <c r="B37" s="39" t="str">
        <f>VLOOKUP(A37,Tableau_REF_Risques[],2,FALSE)</f>
        <v>Compromission d'un poste via une clé USB infectée</v>
      </c>
      <c r="C37" s="39">
        <f>_xlfn.MAXIFS(Tableau_REF_SMSR[Vrais Retenue],Tableau_REF_SMSR['#SM],Tableau_REF_SMMS[[#This Row],['#SM]])</f>
        <v>3</v>
      </c>
      <c r="D37" s="66" t="s">
        <v>280</v>
      </c>
      <c r="E37" s="39" t="str">
        <f>VLOOKUP(D37,Tableau_REF_Mesures[],2,FALSE)</f>
        <v>Solution de sensibilisation et de formation</v>
      </c>
      <c r="F37" s="143">
        <v>0.15909090909090906</v>
      </c>
      <c r="G37" s="143">
        <f>IFERROR(VLOOKUP(Tableau_REF_SMMS[[#This Row],['#MS]],Tableau_REC_Mesures[#All],6,FALSE),0)</f>
        <v>0</v>
      </c>
      <c r="H37" s="144">
        <f>IF(VLOOKUP(D37,Tableau_REF_Mesures[],3,FALSE)="OUI",F37+(F37*G37),0)</f>
        <v>0.15909090909090906</v>
      </c>
      <c r="I37" s="79">
        <f>VLOOKUP(D37,Tableau_REF_Mesures[],8,FALSE)*H37/IF(VLOOKUP(D37,Tableau_REF_Mesures[],6,FALSE)&gt;0,VLOOKUP(D37,Tableau_REF_Mesures[],6,FALSE),1)</f>
        <v>3978.2627083687948</v>
      </c>
      <c r="K37" s="66"/>
      <c r="L37" s="113"/>
      <c r="M37" s="113"/>
    </row>
    <row r="38" spans="1:17" x14ac:dyDescent="0.2">
      <c r="A38" s="39" t="s">
        <v>56</v>
      </c>
      <c r="B38" s="39" t="str">
        <f>VLOOKUP(A38,Tableau_REF_Risques[],2,FALSE)</f>
        <v>Compromission d'un poste via une clé USB infectée</v>
      </c>
      <c r="C38" s="39">
        <f>_xlfn.MAXIFS(Tableau_REF_SMSR[Vrais Retenue],Tableau_REF_SMSR['#SM],Tableau_REF_SMMS[[#This Row],['#SM]])</f>
        <v>3</v>
      </c>
      <c r="D38" s="66" t="s">
        <v>282</v>
      </c>
      <c r="E38" s="39" t="str">
        <f>VLOOKUP(D38,Tableau_REF_Mesures[],2,FALSE)</f>
        <v>Service de supervision de sécurité (SOC)</v>
      </c>
      <c r="F38" s="143">
        <v>6.8181818181818177E-2</v>
      </c>
      <c r="G38" s="143">
        <f>IFERROR(VLOOKUP(Tableau_REF_SMMS[[#This Row],['#MS]],Tableau_REC_Mesures[#All],6,FALSE),0)</f>
        <v>0</v>
      </c>
      <c r="H38" s="144">
        <f>IF(VLOOKUP(D38,Tableau_REF_Mesures[],3,FALSE)="OUI",F38+(F38*G38),0)</f>
        <v>6.8181818181818177E-2</v>
      </c>
      <c r="I38" s="79">
        <f>VLOOKUP(D38,Tableau_REF_Mesures[],8,FALSE)*H38/IF(VLOOKUP(D38,Tableau_REF_Mesures[],6,FALSE)&gt;0,VLOOKUP(D38,Tableau_REF_Mesures[],6,FALSE),1)</f>
        <v>2149.0492017758393</v>
      </c>
      <c r="K38" s="66"/>
      <c r="L38" s="113"/>
      <c r="M38" s="113"/>
    </row>
    <row r="39" spans="1:17" x14ac:dyDescent="0.2">
      <c r="A39" s="39" t="s">
        <v>56</v>
      </c>
      <c r="B39" s="39" t="str">
        <f>VLOOKUP(A39,Tableau_REF_Risques[],2,FALSE)</f>
        <v>Compromission d'un poste via une clé USB infectée</v>
      </c>
      <c r="C39" s="39">
        <f>_xlfn.MAXIFS(Tableau_REF_SMSR[Vrais Retenue],Tableau_REF_SMSR['#SM],Tableau_REF_SMMS[[#This Row],['#SM]])</f>
        <v>3</v>
      </c>
      <c r="D39" s="66" t="s">
        <v>283</v>
      </c>
      <c r="E39" s="39" t="str">
        <f>VLOOKUP(D39,Tableau_REF_Mesures[],2,FALSE)</f>
        <v>Service de gestion des solutions de sécurité</v>
      </c>
      <c r="F39" s="143">
        <v>0.18181818181818182</v>
      </c>
      <c r="G39" s="143">
        <f>IFERROR(VLOOKUP(Tableau_REF_SMMS[[#This Row],['#MS]],Tableau_REC_Mesures[#All],6,FALSE),0)</f>
        <v>0</v>
      </c>
      <c r="H39" s="144">
        <f>IF(VLOOKUP(D39,Tableau_REF_Mesures[],3,FALSE)="OUI",F39+(F39*G39),0)</f>
        <v>0.18181818181818182</v>
      </c>
      <c r="I39" s="79"/>
      <c r="K39" s="66"/>
      <c r="L39" s="113"/>
      <c r="M39" s="113"/>
    </row>
    <row r="40" spans="1:17" x14ac:dyDescent="0.2">
      <c r="A40" s="39" t="s">
        <v>56</v>
      </c>
      <c r="B40" s="39" t="str">
        <f>VLOOKUP(A40,Tableau_REF_Risques[],2,FALSE)</f>
        <v>Compromission d'un poste via une clé USB infectée</v>
      </c>
      <c r="C40" s="39">
        <f>_xlfn.MAXIFS(Tableau_REF_SMSR[Vrais Retenue],Tableau_REF_SMSR['#SM],Tableau_REF_SMMS[[#This Row],['#SM]])</f>
        <v>3</v>
      </c>
      <c r="D40" s="66" t="s">
        <v>284</v>
      </c>
      <c r="E40" s="39" t="str">
        <f>VLOOKUP(D40,Tableau_REF_Mesures[],2,FALSE)</f>
        <v>Service de Veille et de réponse à incidents (CERT/CSIRT)</v>
      </c>
      <c r="F40" s="143">
        <v>6.8181818181818177E-2</v>
      </c>
      <c r="G40" s="143">
        <f>IFERROR(VLOOKUP(Tableau_REF_SMMS[[#This Row],['#MS]],Tableau_REC_Mesures[#All],6,FALSE),0)</f>
        <v>0</v>
      </c>
      <c r="H40" s="144">
        <f>IF(VLOOKUP(D40,Tableau_REF_Mesures[],3,FALSE)="OUI",F40+(F40*G40),0)</f>
        <v>6.8181818181818177E-2</v>
      </c>
      <c r="I40" s="79">
        <f>VLOOKUP(D40,Tableau_REF_Mesures[],8,FALSE)*H40/IF(VLOOKUP(D40,Tableau_REF_Mesures[],6,FALSE)&gt;0,VLOOKUP(D40,Tableau_REF_Mesures[],6,FALSE),1)</f>
        <v>4355.397379572647</v>
      </c>
      <c r="K40" s="66"/>
      <c r="L40" s="113"/>
      <c r="M40" s="113"/>
    </row>
    <row r="41" spans="1:17" x14ac:dyDescent="0.2">
      <c r="A41" s="39" t="s">
        <v>55</v>
      </c>
      <c r="B41" s="39" t="str">
        <f>VLOOKUP(A41,Tableau_REF_Risques[],2,FALSE)</f>
        <v>Compromission d'une application ou d'une API exposée sur Internet</v>
      </c>
      <c r="C41" s="39">
        <f>_xlfn.MAXIFS(Tableau_REF_SMSR[Vrais Retenue],Tableau_REF_SMSR['#SM],Tableau_REF_SMMS[[#This Row],['#SM]])</f>
        <v>3</v>
      </c>
      <c r="D41" s="66" t="s">
        <v>241</v>
      </c>
      <c r="E41" s="39" t="str">
        <f>VLOOKUP(D41,Tableau_REF_Mesures[],2,FALSE)</f>
        <v>Solution de pare-feu (élémentaire)</v>
      </c>
      <c r="F41" s="143">
        <v>3.6363636363636369E-2</v>
      </c>
      <c r="G41" s="143">
        <f>IFERROR(VLOOKUP(Tableau_REF_SMMS[[#This Row],['#MS]],Tableau_REC_Mesures[#All],6,FALSE),0)</f>
        <v>0</v>
      </c>
      <c r="H41" s="144">
        <f>IF(VLOOKUP(D41,Tableau_REF_Mesures[],3,FALSE)="OUI",F41+(F41*G41),0)</f>
        <v>0</v>
      </c>
      <c r="I41" s="79">
        <f>VLOOKUP(D41,Tableau_REF_Mesures[],8,FALSE)*H41/IF(VLOOKUP(D41,Tableau_REF_Mesures[],6,FALSE)&gt;0,VLOOKUP(D41,Tableau_REF_Mesures[],6,FALSE),1)</f>
        <v>0</v>
      </c>
      <c r="K41" s="66"/>
      <c r="L41" s="66"/>
      <c r="M41" s="66"/>
      <c r="N41" s="66"/>
      <c r="P41" s="66"/>
      <c r="Q41" s="66"/>
    </row>
    <row r="42" spans="1:17" x14ac:dyDescent="0.2">
      <c r="A42" s="39" t="s">
        <v>55</v>
      </c>
      <c r="B42" s="39" t="str">
        <f>VLOOKUP(A42,Tableau_REF_Risques[],2,FALSE)</f>
        <v>Compromission d'une application ou d'une API exposée sur Internet</v>
      </c>
      <c r="C42" s="39">
        <f>_xlfn.MAXIFS(Tableau_REF_SMSR[Vrais Retenue],Tableau_REF_SMSR['#SM],Tableau_REF_SMMS[[#This Row],['#SM]])</f>
        <v>3</v>
      </c>
      <c r="D42" s="66" t="s">
        <v>243</v>
      </c>
      <c r="E42" s="39" t="str">
        <f>VLOOKUP(D42,Tableau_REF_Mesures[],2,FALSE)</f>
        <v>Solution de pare-feu (intermédiaire)</v>
      </c>
      <c r="F42" s="143">
        <v>0.12727272727272729</v>
      </c>
      <c r="G42" s="143">
        <f>IFERROR(VLOOKUP(Tableau_REF_SMMS[[#This Row],['#MS]],Tableau_REC_Mesures[#All],6,FALSE),0)</f>
        <v>0</v>
      </c>
      <c r="H42" s="144">
        <f>IF(VLOOKUP(D42,Tableau_REF_Mesures[],3,FALSE)="OUI",F42+(F42*G42),0)</f>
        <v>0</v>
      </c>
      <c r="I42" s="79">
        <f>VLOOKUP(D42,Tableau_REF_Mesures[],8,FALSE)*H42/IF(VLOOKUP(D42,Tableau_REF_Mesures[],6,FALSE)&gt;0,VLOOKUP(D42,Tableau_REF_Mesures[],6,FALSE),1)</f>
        <v>0</v>
      </c>
      <c r="K42" s="66"/>
      <c r="L42" s="66"/>
      <c r="M42" s="66"/>
      <c r="N42" s="66"/>
      <c r="P42" s="66"/>
      <c r="Q42" s="66"/>
    </row>
    <row r="43" spans="1:17" s="113" customFormat="1" x14ac:dyDescent="0.2">
      <c r="A43" s="113" t="s">
        <v>55</v>
      </c>
      <c r="B43" s="65" t="str">
        <f>VLOOKUP(A43,Tableau_REF_Risques[],2,FALSE)</f>
        <v>Compromission d'une application ou d'une API exposée sur Internet</v>
      </c>
      <c r="C43" s="146">
        <f>_xlfn.MAXIFS(Tableau_REF_SMSR[Vrais Retenue],Tableau_REF_SMSR['#SM],Tableau_REF_SMMS[[#This Row],['#SM]])</f>
        <v>3</v>
      </c>
      <c r="D43" s="147" t="s">
        <v>245</v>
      </c>
      <c r="E43" s="65" t="str">
        <f>VLOOKUP(D43,Tableau_REF_Mesures[],2,FALSE)</f>
        <v>Solution de pare-feu (avancé)</v>
      </c>
      <c r="F43" s="143">
        <v>0.12727272727272729</v>
      </c>
      <c r="G43" s="143">
        <f>IFERROR(VLOOKUP(Tableau_REF_SMMS[[#This Row],['#MS]],Tableau_REC_Mesures[#All],6,FALSE),0)</f>
        <v>0</v>
      </c>
      <c r="H43" s="77">
        <f>IF(VLOOKUP(D43,Tableau_REF_Mesures[],3,FALSE)="OUI",F43+(F43*G43),0)</f>
        <v>0.12727272727272729</v>
      </c>
      <c r="I43" s="79">
        <f>VLOOKUP(D43,Tableau_REF_Mesures[],8,FALSE)*H43/IF(VLOOKUP(D43,Tableau_REF_Mesures[],6,FALSE)&gt;0,VLOOKUP(D43,Tableau_REF_Mesures[],6,FALSE),1)</f>
        <v>1663.0249791209224</v>
      </c>
      <c r="L43" s="66"/>
      <c r="M43" s="66"/>
      <c r="N43" s="66"/>
      <c r="P43" s="66"/>
      <c r="Q43" s="66"/>
    </row>
    <row r="44" spans="1:17" x14ac:dyDescent="0.2">
      <c r="A44" s="39" t="s">
        <v>55</v>
      </c>
      <c r="B44" s="39" t="str">
        <f>VLOOKUP(A44,Tableau_REF_Risques[],2,FALSE)</f>
        <v>Compromission d'une application ou d'une API exposée sur Internet</v>
      </c>
      <c r="C44" s="39">
        <f>_xlfn.MAXIFS(Tableau_REF_SMSR[Vrais Retenue],Tableau_REF_SMSR['#SM],Tableau_REF_SMMS[[#This Row],['#SM]])</f>
        <v>3</v>
      </c>
      <c r="D44" s="66" t="s">
        <v>256</v>
      </c>
      <c r="E44" s="39" t="str">
        <f>VLOOKUP(D44,Tableau_REF_Mesures[],2,FALSE)</f>
        <v>Solution Reverse Proxy / Loadbalancer élémentaire</v>
      </c>
      <c r="F44" s="143">
        <v>1.8181818181818184E-2</v>
      </c>
      <c r="G44" s="143">
        <f>IFERROR(VLOOKUP(Tableau_REF_SMMS[[#This Row],['#MS]],Tableau_REC_Mesures[#All],6,FALSE),0)</f>
        <v>0.9</v>
      </c>
      <c r="H44" s="144">
        <f>IF(VLOOKUP(D44,Tableau_REF_Mesures[],3,FALSE)="OUI",F44+(F44*G44),0)</f>
        <v>0</v>
      </c>
      <c r="I44" s="79">
        <f>VLOOKUP(D44,Tableau_REF_Mesures[],8,FALSE)*H44/IF(VLOOKUP(D44,Tableau_REF_Mesures[],6,FALSE)&gt;0,VLOOKUP(D44,Tableau_REF_Mesures[],6,FALSE),1)</f>
        <v>0</v>
      </c>
      <c r="K44" s="66"/>
      <c r="L44" s="66"/>
      <c r="M44" s="66"/>
      <c r="N44" s="66"/>
      <c r="P44" s="66"/>
      <c r="Q44" s="66"/>
    </row>
    <row r="45" spans="1:17" x14ac:dyDescent="0.2">
      <c r="A45" s="39" t="s">
        <v>55</v>
      </c>
      <c r="B45" s="39" t="str">
        <f>VLOOKUP(A45,Tableau_REF_Risques[],2,FALSE)</f>
        <v>Compromission d'une application ou d'une API exposée sur Internet</v>
      </c>
      <c r="C45" s="39">
        <f>_xlfn.MAXIFS(Tableau_REF_SMSR[Vrais Retenue],Tableau_REF_SMSR['#SM],Tableau_REF_SMMS[[#This Row],['#SM]])</f>
        <v>3</v>
      </c>
      <c r="D45" s="66" t="s">
        <v>258</v>
      </c>
      <c r="E45" s="39" t="str">
        <f>VLOOKUP(D45,Tableau_REF_Mesures[],2,FALSE)</f>
        <v>Solution Reverse Proxy / Loadbalancer intermédiaire</v>
      </c>
      <c r="F45" s="143">
        <v>0.14545454545454545</v>
      </c>
      <c r="G45" s="143">
        <f>IFERROR(VLOOKUP(Tableau_REF_SMMS[[#This Row],['#MS]],Tableau_REC_Mesures[#All],6,FALSE),0)</f>
        <v>0.7</v>
      </c>
      <c r="H45" s="144">
        <f>IF(VLOOKUP(D45,Tableau_REF_Mesures[],3,FALSE)="OUI",F45+(F45*G45),0)</f>
        <v>0.24727272727272726</v>
      </c>
      <c r="I45" s="79">
        <f>VLOOKUP(D45,Tableau_REF_Mesures[],8,FALSE)*H45/IF(VLOOKUP(D45,Tableau_REF_Mesures[],6,FALSE)&gt;0,VLOOKUP(D45,Tableau_REF_Mesures[],6,FALSE),1)</f>
        <v>25042.797750061141</v>
      </c>
      <c r="K45" s="66"/>
      <c r="L45" s="66"/>
      <c r="M45" s="66"/>
      <c r="N45" s="66"/>
      <c r="P45" s="66"/>
      <c r="Q45" s="66"/>
    </row>
    <row r="46" spans="1:17" s="113" customFormat="1" x14ac:dyDescent="0.2">
      <c r="A46" s="113" t="s">
        <v>55</v>
      </c>
      <c r="B46" s="113" t="str">
        <f>VLOOKUP(A46,Tableau_REF_Risques[],2,FALSE)</f>
        <v>Compromission d'une application ou d'une API exposée sur Internet</v>
      </c>
      <c r="C46" s="113">
        <f>_xlfn.MAXIFS(Tableau_REF_SMSR[Vrais Retenue],Tableau_REF_SMSR['#SM],Tableau_REF_SMMS[[#This Row],['#SM]])</f>
        <v>3</v>
      </c>
      <c r="D46" s="147" t="s">
        <v>260</v>
      </c>
      <c r="E46" s="113" t="str">
        <f>VLOOKUP(D46,Tableau_REF_Mesures[],2,FALSE)</f>
        <v>Solution Reverse Proxy / Loadbalancer avancée</v>
      </c>
      <c r="F46" s="143">
        <v>0.14545454545454545</v>
      </c>
      <c r="G46" s="143">
        <f>IFERROR(VLOOKUP(Tableau_REF_SMMS[[#This Row],['#MS]],Tableau_REC_Mesures[#All],6,FALSE),0)</f>
        <v>0.3</v>
      </c>
      <c r="H46" s="144">
        <f>IF(VLOOKUP(D46,Tableau_REF_Mesures[],3,FALSE)="OUI",F46+(F46*G46),0)</f>
        <v>0</v>
      </c>
      <c r="I46" s="79">
        <f>VLOOKUP(D46,Tableau_REF_Mesures[],8,FALSE)*H46/IF(VLOOKUP(D46,Tableau_REF_Mesures[],6,FALSE)&gt;0,VLOOKUP(D46,Tableau_REF_Mesures[],6,FALSE),1)</f>
        <v>0</v>
      </c>
      <c r="L46" s="66"/>
      <c r="M46" s="66"/>
      <c r="N46" s="66"/>
      <c r="P46" s="66"/>
      <c r="Q46" s="66"/>
    </row>
    <row r="47" spans="1:17" x14ac:dyDescent="0.2">
      <c r="A47" s="39" t="s">
        <v>55</v>
      </c>
      <c r="B47" s="39" t="str">
        <f>VLOOKUP(A47,Tableau_REF_Risques[],2,FALSE)</f>
        <v>Compromission d'une application ou d'une API exposée sur Internet</v>
      </c>
      <c r="C47" s="39">
        <f>_xlfn.MAXIFS(Tableau_REF_SMSR[Vrais Retenue],Tableau_REF_SMSR['#SM],Tableau_REF_SMMS[[#This Row],['#SM]])</f>
        <v>3</v>
      </c>
      <c r="D47" s="66" t="s">
        <v>262</v>
      </c>
      <c r="E47" s="39" t="str">
        <f>VLOOKUP(D47,Tableau_REF_Mesures[],2,FALSE)</f>
        <v>Sondes spécialisées IDPS (Détection &amp; Prévention d'intrusion)</v>
      </c>
      <c r="F47" s="143">
        <v>9.0909090909090912E-2</v>
      </c>
      <c r="G47" s="143">
        <f>IFERROR(VLOOKUP(Tableau_REF_SMMS[[#This Row],['#MS]],Tableau_REC_Mesures[#All],6,FALSE),0)</f>
        <v>0.8</v>
      </c>
      <c r="H47" s="144">
        <f>IF(VLOOKUP(D47,Tableau_REF_Mesures[],3,FALSE)="OUI",F47+(F47*G47),0)</f>
        <v>0.16363636363636364</v>
      </c>
      <c r="I47" s="79">
        <f>VLOOKUP(D47,Tableau_REF_Mesures[],8,FALSE)*H47/IF(VLOOKUP(D47,Tableau_REF_Mesures[],6,FALSE)&gt;0,VLOOKUP(D47,Tableau_REF_Mesures[],6,FALSE),1)</f>
        <v>3816.7040470419233</v>
      </c>
      <c r="K47" s="66"/>
      <c r="L47" s="66"/>
      <c r="M47" s="66"/>
      <c r="N47" s="66"/>
      <c r="P47" s="66"/>
      <c r="Q47" s="66"/>
    </row>
    <row r="48" spans="1:17" x14ac:dyDescent="0.2">
      <c r="A48" s="39" t="s">
        <v>55</v>
      </c>
      <c r="B48" s="39" t="str">
        <f>VLOOKUP(A48,Tableau_REF_Risques[],2,FALSE)</f>
        <v>Compromission d'une application ou d'une API exposée sur Internet</v>
      </c>
      <c r="C48" s="39">
        <f>_xlfn.MAXIFS(Tableau_REF_SMSR[Vrais Retenue],Tableau_REF_SMSR['#SM],Tableau_REF_SMMS[[#This Row],['#SM]])</f>
        <v>3</v>
      </c>
      <c r="D48" s="66" t="s">
        <v>265</v>
      </c>
      <c r="E48" s="39" t="str">
        <f>VLOOKUP(D48,Tableau_REF_Mesures[],2,FALSE)</f>
        <v>Solution de détection et de gestion des vulnérabilités</v>
      </c>
      <c r="F48" s="143">
        <v>0.10909090909090909</v>
      </c>
      <c r="G48" s="143">
        <f>IFERROR(VLOOKUP(Tableau_REF_SMMS[[#This Row],['#MS]],Tableau_REC_Mesures[#All],6,FALSE),0)</f>
        <v>0</v>
      </c>
      <c r="H48" s="144">
        <f>IF(VLOOKUP(D48,Tableau_REF_Mesures[],3,FALSE)="OUI",F48+(F48*G48),0)</f>
        <v>0.10909090909090909</v>
      </c>
      <c r="I48" s="79">
        <f>VLOOKUP(D48,Tableau_REF_Mesures[],8,FALSE)*H48/IF(VLOOKUP(D48,Tableau_REF_Mesures[],6,FALSE)&gt;0,VLOOKUP(D48,Tableau_REF_Mesures[],6,FALSE),1)</f>
        <v>5052.2062537306583</v>
      </c>
      <c r="K48" s="66"/>
      <c r="L48" s="66"/>
      <c r="M48" s="66"/>
      <c r="N48" s="66"/>
      <c r="P48" s="66"/>
      <c r="Q48" s="66"/>
    </row>
    <row r="49" spans="1:17" x14ac:dyDescent="0.2">
      <c r="A49" s="39" t="s">
        <v>55</v>
      </c>
      <c r="B49" s="39" t="str">
        <f>VLOOKUP(A49,Tableau_REF_Risques[],2,FALSE)</f>
        <v>Compromission d'une application ou d'une API exposée sur Internet</v>
      </c>
      <c r="C49" s="39">
        <f>_xlfn.MAXIFS(Tableau_REF_SMSR[Vrais Retenue],Tableau_REF_SMSR['#SM],Tableau_REF_SMMS[[#This Row],['#SM]])</f>
        <v>3</v>
      </c>
      <c r="D49" s="66" t="s">
        <v>266</v>
      </c>
      <c r="E49" s="39" t="str">
        <f>VLOOKUP(D49,Tableau_REF_Mesures[],2,FALSE)</f>
        <v>Solution d'analyse de code applicatif (AST)</v>
      </c>
      <c r="F49" s="143">
        <v>0.14545454545454548</v>
      </c>
      <c r="G49" s="143">
        <f>IFERROR(VLOOKUP(Tableau_REF_SMMS[[#This Row],['#MS]],Tableau_REC_Mesures[#All],6,FALSE),0)</f>
        <v>0</v>
      </c>
      <c r="H49" s="144">
        <f>IF(VLOOKUP(D49,Tableau_REF_Mesures[],3,FALSE)="OUI",F49+(F49*G49),0)</f>
        <v>0.14545454545454548</v>
      </c>
      <c r="I49" s="79">
        <f>VLOOKUP(D49,Tableau_REF_Mesures[],8,FALSE)*H49/IF(VLOOKUP(D49,Tableau_REF_Mesures[],6,FALSE)&gt;0,VLOOKUP(D49,Tableau_REF_Mesures[],6,FALSE),1)</f>
        <v>46053.191489361707</v>
      </c>
      <c r="K49" s="66"/>
      <c r="L49" s="66"/>
      <c r="M49" s="66"/>
      <c r="N49" s="66"/>
      <c r="P49" s="66"/>
      <c r="Q49" s="66"/>
    </row>
    <row r="50" spans="1:17" x14ac:dyDescent="0.2">
      <c r="A50" s="39" t="s">
        <v>55</v>
      </c>
      <c r="B50" s="39" t="str">
        <f>VLOOKUP(A50,Tableau_REF_Risques[],2,FALSE)</f>
        <v>Compromission d'une application ou d'une API exposée sur Internet</v>
      </c>
      <c r="C50" s="39">
        <f>_xlfn.MAXIFS(Tableau_REF_SMSR[Vrais Retenue],Tableau_REF_SMSR['#SM],Tableau_REF_SMMS[[#This Row],['#SM]])</f>
        <v>3</v>
      </c>
      <c r="D50" s="66" t="s">
        <v>278</v>
      </c>
      <c r="E50" s="39" t="str">
        <f>VLOOKUP(D50,Tableau_REF_Mesures[],2,FALSE)</f>
        <v>Solution de collecte et de traitement des événements (SIEM)</v>
      </c>
      <c r="F50" s="143">
        <v>3.6363636363636369E-2</v>
      </c>
      <c r="G50" s="143">
        <f>IFERROR(VLOOKUP(Tableau_REF_SMMS[[#This Row],['#MS]],Tableau_REC_Mesures[#All],6,FALSE),0)</f>
        <v>0</v>
      </c>
      <c r="H50" s="144">
        <f>IF(VLOOKUP(D50,Tableau_REF_Mesures[],3,FALSE)="OUI",F50+(F50*G50),0)</f>
        <v>3.6363636363636369E-2</v>
      </c>
      <c r="I50" s="79">
        <f>VLOOKUP(D50,Tableau_REF_Mesures[],8,FALSE)*H50/IF(VLOOKUP(D50,Tableau_REF_Mesures[],6,FALSE)&gt;0,VLOOKUP(D50,Tableau_REF_Mesures[],6,FALSE),1)</f>
        <v>143.84550475704668</v>
      </c>
      <c r="K50" s="66"/>
      <c r="L50" s="66"/>
      <c r="M50" s="66"/>
      <c r="N50" s="66"/>
      <c r="P50" s="66"/>
      <c r="Q50" s="66"/>
    </row>
    <row r="51" spans="1:17" x14ac:dyDescent="0.2">
      <c r="A51" s="39" t="s">
        <v>55</v>
      </c>
      <c r="B51" s="39" t="str">
        <f>VLOOKUP(A51,Tableau_REF_Risques[],2,FALSE)</f>
        <v>Compromission d'une application ou d'une API exposée sur Internet</v>
      </c>
      <c r="C51" s="39">
        <f>_xlfn.MAXIFS(Tableau_REF_SMSR[Vrais Retenue],Tableau_REF_SMSR['#SM],Tableau_REF_SMMS[[#This Row],['#SM]])</f>
        <v>3</v>
      </c>
      <c r="D51" s="66" t="s">
        <v>282</v>
      </c>
      <c r="E51" s="39" t="str">
        <f>VLOOKUP(D51,Tableau_REF_Mesures[],2,FALSE)</f>
        <v>Service de supervision de sécurité (SOC)</v>
      </c>
      <c r="F51" s="143">
        <v>5.4545454545454543E-2</v>
      </c>
      <c r="G51" s="143">
        <f>IFERROR(VLOOKUP(Tableau_REF_SMMS[[#This Row],['#MS]],Tableau_REC_Mesures[#All],6,FALSE),0)</f>
        <v>0</v>
      </c>
      <c r="H51" s="144">
        <f>IF(VLOOKUP(D51,Tableau_REF_Mesures[],3,FALSE)="OUI",F51+(F51*G51),0)</f>
        <v>5.4545454545454543E-2</v>
      </c>
      <c r="I51" s="79">
        <f>VLOOKUP(D51,Tableau_REF_Mesures[],8,FALSE)*H51/IF(VLOOKUP(D51,Tableau_REF_Mesures[],6,FALSE)&gt;0,VLOOKUP(D51,Tableau_REF_Mesures[],6,FALSE),1)</f>
        <v>1719.2393614206715</v>
      </c>
      <c r="K51" s="66"/>
      <c r="L51" s="66"/>
      <c r="M51" s="66"/>
    </row>
    <row r="52" spans="1:17" x14ac:dyDescent="0.2">
      <c r="A52" s="39" t="s">
        <v>55</v>
      </c>
      <c r="B52" s="39" t="str">
        <f>VLOOKUP(A52,Tableau_REF_Risques[],2,FALSE)</f>
        <v>Compromission d'une application ou d'une API exposée sur Internet</v>
      </c>
      <c r="C52" s="39">
        <f>_xlfn.MAXIFS(Tableau_REF_SMSR[Vrais Retenue],Tableau_REF_SMSR['#SM],Tableau_REF_SMMS[[#This Row],['#SM]])</f>
        <v>3</v>
      </c>
      <c r="D52" s="66" t="s">
        <v>283</v>
      </c>
      <c r="E52" s="39" t="str">
        <f>VLOOKUP(D52,Tableau_REF_Mesures[],2,FALSE)</f>
        <v>Service de gestion des solutions de sécurité</v>
      </c>
      <c r="F52" s="143">
        <v>0.14545454545454548</v>
      </c>
      <c r="G52" s="143">
        <f>IFERROR(VLOOKUP(Tableau_REF_SMMS[[#This Row],['#MS]],Tableau_REC_Mesures[#All],6,FALSE),0)</f>
        <v>0</v>
      </c>
      <c r="H52" s="144">
        <f>IF(VLOOKUP(D52,Tableau_REF_Mesures[],3,FALSE)="OUI",F52+(F52*G52),0)</f>
        <v>0.14545454545454548</v>
      </c>
      <c r="I52" s="79"/>
      <c r="K52" s="66"/>
      <c r="L52" s="66"/>
      <c r="M52" s="66"/>
    </row>
    <row r="53" spans="1:17" x14ac:dyDescent="0.2">
      <c r="A53" s="39" t="s">
        <v>55</v>
      </c>
      <c r="B53" s="39" t="str">
        <f>VLOOKUP(A53,Tableau_REF_Risques[],2,FALSE)</f>
        <v>Compromission d'une application ou d'une API exposée sur Internet</v>
      </c>
      <c r="C53" s="39">
        <f>_xlfn.MAXIFS(Tableau_REF_SMSR[Vrais Retenue],Tableau_REF_SMSR['#SM],Tableau_REF_SMMS[[#This Row],['#SM]])</f>
        <v>3</v>
      </c>
      <c r="D53" s="66" t="s">
        <v>284</v>
      </c>
      <c r="E53" s="39" t="str">
        <f>VLOOKUP(D53,Tableau_REF_Mesures[],2,FALSE)</f>
        <v>Service de Veille et de réponse à incidents (CERT/CSIRT)</v>
      </c>
      <c r="F53" s="143">
        <v>5.4545454545454543E-2</v>
      </c>
      <c r="G53" s="143">
        <f>IFERROR(VLOOKUP(Tableau_REF_SMMS[[#This Row],['#MS]],Tableau_REC_Mesures[#All],6,FALSE),0)</f>
        <v>0</v>
      </c>
      <c r="H53" s="144">
        <f>IF(VLOOKUP(D53,Tableau_REF_Mesures[],3,FALSE)="OUI",F53+(F53*G53),0)</f>
        <v>5.4545454545454543E-2</v>
      </c>
      <c r="I53" s="79">
        <f>VLOOKUP(D53,Tableau_REF_Mesures[],8,FALSE)*H53/IF(VLOOKUP(D53,Tableau_REF_Mesures[],6,FALSE)&gt;0,VLOOKUP(D53,Tableau_REF_Mesures[],6,FALSE),1)</f>
        <v>3484.3179036581178</v>
      </c>
      <c r="K53" s="66"/>
      <c r="L53" s="66"/>
      <c r="M53" s="66"/>
    </row>
    <row r="54" spans="1:17" x14ac:dyDescent="0.2">
      <c r="A54" s="39" t="s">
        <v>55</v>
      </c>
      <c r="B54" s="39" t="str">
        <f>VLOOKUP(A54,Tableau_REF_Risques[],2,FALSE)</f>
        <v>Compromission d'une application ou d'une API exposée sur Internet</v>
      </c>
      <c r="C54" s="39">
        <f>_xlfn.MAXIFS(Tableau_REF_SMSR[Vrais Retenue],Tableau_REF_SMSR['#SM],Tableau_REF_SMMS[[#This Row],['#SM]])</f>
        <v>3</v>
      </c>
      <c r="D54" s="66" t="s">
        <v>286</v>
      </c>
      <c r="E54" s="39" t="str">
        <f>VLOOKUP(D54,Tableau_REF_Mesures[],2,FALSE)</f>
        <v>Service d'audit SSI</v>
      </c>
      <c r="F54" s="143">
        <v>9.0909090909090912E-2</v>
      </c>
      <c r="G54" s="143">
        <f>IFERROR(VLOOKUP(Tableau_REF_SMMS[[#This Row],['#MS]],Tableau_REC_Mesures[#All],6,FALSE),0)</f>
        <v>0</v>
      </c>
      <c r="H54" s="144">
        <f>IF(VLOOKUP(D54,Tableau_REF_Mesures[],3,FALSE)="OUI",F54+(F54*G54),0)</f>
        <v>9.0909090909090912E-2</v>
      </c>
      <c r="I54" s="79">
        <f>VLOOKUP(D54,Tableau_REF_Mesures[],8,FALSE)*H54/IF(VLOOKUP(D54,Tableau_REF_Mesures[],6,FALSE)&gt;0,VLOOKUP(D54,Tableau_REF_Mesures[],6,FALSE),1)</f>
        <v>4917.5695375366868</v>
      </c>
      <c r="K54" s="66"/>
      <c r="L54" s="66"/>
      <c r="M54" s="66"/>
    </row>
    <row r="55" spans="1:17" x14ac:dyDescent="0.2">
      <c r="A55" s="39" t="s">
        <v>54</v>
      </c>
      <c r="B55" s="39" t="str">
        <f>VLOOKUP(A55,Tableau_REF_Risques[],2,FALSE)</f>
        <v>Compromission d'un service d'accès réseau à distance (ex VPN, VDI…)</v>
      </c>
      <c r="C55" s="39">
        <f>_xlfn.MAXIFS(Tableau_REF_SMSR[Vrais Retenue],Tableau_REF_SMSR['#SM],Tableau_REF_SMMS[[#This Row],['#SM]])</f>
        <v>3</v>
      </c>
      <c r="D55" s="66" t="s">
        <v>241</v>
      </c>
      <c r="E55" s="39" t="str">
        <f>VLOOKUP(D55,Tableau_REF_Mesures[],2,FALSE)</f>
        <v>Solution de pare-feu (élémentaire)</v>
      </c>
      <c r="F55" s="143">
        <v>3.125E-2</v>
      </c>
      <c r="G55" s="143">
        <f>IFERROR(VLOOKUP(Tableau_REF_SMMS[[#This Row],['#MS]],Tableau_REC_Mesures[#All],6,FALSE),0)</f>
        <v>0</v>
      </c>
      <c r="H55" s="144">
        <f>IF(VLOOKUP(D55,Tableau_REF_Mesures[],3,FALSE)="OUI",F55+(F55*G55),0)</f>
        <v>0</v>
      </c>
      <c r="I55" s="79">
        <f>VLOOKUP(D55,Tableau_REF_Mesures[],8,FALSE)*H55/IF(VLOOKUP(D55,Tableau_REF_Mesures[],6,FALSE)&gt;0,VLOOKUP(D55,Tableau_REF_Mesures[],6,FALSE),1)</f>
        <v>0</v>
      </c>
      <c r="K55" s="66"/>
    </row>
    <row r="56" spans="1:17" x14ac:dyDescent="0.2">
      <c r="A56" s="39" t="s">
        <v>54</v>
      </c>
      <c r="B56" s="39" t="str">
        <f>VLOOKUP(A56,Tableau_REF_Risques[],2,FALSE)</f>
        <v>Compromission d'un service d'accès réseau à distance (ex VPN, VDI…)</v>
      </c>
      <c r="C56" s="39">
        <f>_xlfn.MAXIFS(Tableau_REF_SMSR[Vrais Retenue],Tableau_REF_SMSR['#SM],Tableau_REF_SMMS[[#This Row],['#SM]])</f>
        <v>3</v>
      </c>
      <c r="D56" s="66" t="s">
        <v>243</v>
      </c>
      <c r="E56" s="39" t="str">
        <f>VLOOKUP(D56,Tableau_REF_Mesures[],2,FALSE)</f>
        <v>Solution de pare-feu (intermédiaire)</v>
      </c>
      <c r="F56" s="143">
        <v>0.12499999999999999</v>
      </c>
      <c r="G56" s="143">
        <f>IFERROR(VLOOKUP(Tableau_REF_SMMS[[#This Row],['#MS]],Tableau_REC_Mesures[#All],6,FALSE),0)</f>
        <v>0</v>
      </c>
      <c r="H56" s="144">
        <f>IF(VLOOKUP(D56,Tableau_REF_Mesures[],3,FALSE)="OUI",F56+(F56*G56),0)</f>
        <v>0</v>
      </c>
      <c r="I56" s="79">
        <f>VLOOKUP(D56,Tableau_REF_Mesures[],8,FALSE)*H56/IF(VLOOKUP(D56,Tableau_REF_Mesures[],6,FALSE)&gt;0,VLOOKUP(D56,Tableau_REF_Mesures[],6,FALSE),1)</f>
        <v>0</v>
      </c>
      <c r="K56" s="66"/>
    </row>
    <row r="57" spans="1:17" x14ac:dyDescent="0.2">
      <c r="A57" s="39" t="s">
        <v>54</v>
      </c>
      <c r="B57" s="39" t="str">
        <f>VLOOKUP(A57,Tableau_REF_Risques[],2,FALSE)</f>
        <v>Compromission d'un service d'accès réseau à distance (ex VPN, VDI…)</v>
      </c>
      <c r="C57" s="39">
        <f>_xlfn.MAXIFS(Tableau_REF_SMSR[Vrais Retenue],Tableau_REF_SMSR['#SM],Tableau_REF_SMMS[[#This Row],['#SM]])</f>
        <v>3</v>
      </c>
      <c r="D57" s="66" t="s">
        <v>245</v>
      </c>
      <c r="E57" s="39" t="str">
        <f>VLOOKUP(D57,Tableau_REF_Mesures[],2,FALSE)</f>
        <v>Solution de pare-feu (avancé)</v>
      </c>
      <c r="F57" s="143">
        <v>0.21874999999999997</v>
      </c>
      <c r="G57" s="143">
        <f>IFERROR(VLOOKUP(Tableau_REF_SMMS[[#This Row],['#MS]],Tableau_REC_Mesures[#All],6,FALSE),0)</f>
        <v>0</v>
      </c>
      <c r="H57" s="144">
        <f>IF(VLOOKUP(D57,Tableau_REF_Mesures[],3,FALSE)="OUI",F57+(F57*G57),0)</f>
        <v>0.21874999999999997</v>
      </c>
      <c r="I57" s="79">
        <f>VLOOKUP(D57,Tableau_REF_Mesures[],8,FALSE)*H57/IF(VLOOKUP(D57,Tableau_REF_Mesures[],6,FALSE)&gt;0,VLOOKUP(D57,Tableau_REF_Mesures[],6,FALSE),1)</f>
        <v>2858.3241828640844</v>
      </c>
      <c r="K57" s="66"/>
    </row>
    <row r="58" spans="1:17" x14ac:dyDescent="0.2">
      <c r="A58" s="39" t="s">
        <v>54</v>
      </c>
      <c r="B58" s="39" t="str">
        <f>VLOOKUP(A58,Tableau_REF_Risques[],2,FALSE)</f>
        <v>Compromission d'un service d'accès réseau à distance (ex VPN, VDI…)</v>
      </c>
      <c r="C58" s="39">
        <f>_xlfn.MAXIFS(Tableau_REF_SMSR[Vrais Retenue],Tableau_REF_SMSR['#SM],Tableau_REF_SMMS[[#This Row],['#SM]])</f>
        <v>3</v>
      </c>
      <c r="D58" s="66" t="s">
        <v>249</v>
      </c>
      <c r="E58" s="39" t="str">
        <f>VLOOKUP(D58,Tableau_REF_Mesures[],2,FALSE)</f>
        <v>Solution d'accès distants (VPN utilisateurs Nomades)</v>
      </c>
      <c r="F58" s="143">
        <v>9.3749999999999986E-2</v>
      </c>
      <c r="G58" s="143">
        <f>IFERROR(VLOOKUP(Tableau_REF_SMMS[[#This Row],['#MS]],Tableau_REC_Mesures[#All],6,FALSE),0)</f>
        <v>0.8</v>
      </c>
      <c r="H58" s="144">
        <f>IF(VLOOKUP(D58,Tableau_REF_Mesures[],3,FALSE)="OUI",F58+(F58*G58),0)</f>
        <v>0.16874999999999998</v>
      </c>
      <c r="I58" s="79">
        <f>VLOOKUP(D58,Tableau_REF_Mesures[],8,FALSE)*H58/IF(VLOOKUP(D58,Tableau_REF_Mesures[],6,FALSE)&gt;0,VLOOKUP(D58,Tableau_REF_Mesures[],6,FALSE),1)</f>
        <v>35298.737669420159</v>
      </c>
      <c r="K58" s="66"/>
    </row>
    <row r="59" spans="1:17" x14ac:dyDescent="0.2">
      <c r="A59" s="39" t="s">
        <v>54</v>
      </c>
      <c r="B59" s="39" t="str">
        <f>VLOOKUP(A59,Tableau_REF_Risques[],2,FALSE)</f>
        <v>Compromission d'un service d'accès réseau à distance (ex VPN, VDI…)</v>
      </c>
      <c r="C59" s="39">
        <f>_xlfn.MAXIFS(Tableau_REF_SMSR[Vrais Retenue],Tableau_REF_SMSR['#SM],Tableau_REF_SMMS[[#This Row],['#SM]])</f>
        <v>3</v>
      </c>
      <c r="D59" s="66" t="s">
        <v>258</v>
      </c>
      <c r="E59" s="39" t="str">
        <f>VLOOKUP(D59,Tableau_REF_Mesures[],2,FALSE)</f>
        <v>Solution Reverse Proxy / Loadbalancer intermédiaire</v>
      </c>
      <c r="F59" s="143">
        <v>4.6874999999999993E-2</v>
      </c>
      <c r="G59" s="143">
        <f>IFERROR(VLOOKUP(Tableau_REF_SMMS[[#This Row],['#MS]],Tableau_REC_Mesures[#All],6,FALSE),0)</f>
        <v>0.7</v>
      </c>
      <c r="H59" s="144">
        <f>IF(VLOOKUP(D59,Tableau_REF_Mesures[],3,FALSE)="OUI",F59+(F59*G59),0)</f>
        <v>7.9687499999999994E-2</v>
      </c>
      <c r="I59" s="79">
        <f>VLOOKUP(D59,Tableau_REF_Mesures[],8,FALSE)*H59/IF(VLOOKUP(D59,Tableau_REF_Mesures[],6,FALSE)&gt;0,VLOOKUP(D59,Tableau_REF_Mesures[],6,FALSE),1)</f>
        <v>8070.4328686720482</v>
      </c>
      <c r="K59" s="66"/>
    </row>
    <row r="60" spans="1:17" s="113" customFormat="1" x14ac:dyDescent="0.2">
      <c r="A60" s="113" t="s">
        <v>54</v>
      </c>
      <c r="B60" s="65" t="str">
        <f>VLOOKUP(A60,Tableau_REF_Risques[],2,FALSE)</f>
        <v>Compromission d'un service d'accès réseau à distance (ex VPN, VDI…)</v>
      </c>
      <c r="C60" s="146">
        <f>_xlfn.MAXIFS(Tableau_REF_SMSR[Vrais Retenue],Tableau_REF_SMSR['#SM],Tableau_REF_SMMS[[#This Row],['#SM]])</f>
        <v>3</v>
      </c>
      <c r="D60" s="147" t="s">
        <v>260</v>
      </c>
      <c r="E60" s="65" t="str">
        <f>VLOOKUP(D60,Tableau_REF_Mesures[],2,FALSE)</f>
        <v>Solution Reverse Proxy / Loadbalancer avancée</v>
      </c>
      <c r="F60" s="143">
        <v>4.6874999999999993E-2</v>
      </c>
      <c r="G60" s="143">
        <f>IFERROR(VLOOKUP(Tableau_REF_SMMS[[#This Row],['#MS]],Tableau_REC_Mesures[#All],6,FALSE),0)</f>
        <v>0.3</v>
      </c>
      <c r="H60" s="77">
        <f>IF(VLOOKUP(D60,Tableau_REF_Mesures[],3,FALSE)="OUI",F60+(F60*G60),0)</f>
        <v>0</v>
      </c>
      <c r="I60" s="79">
        <f>VLOOKUP(D60,Tableau_REF_Mesures[],8,FALSE)*H60/IF(VLOOKUP(D60,Tableau_REF_Mesures[],6,FALSE)&gt;0,VLOOKUP(D60,Tableau_REF_Mesures[],6,FALSE),1)</f>
        <v>0</v>
      </c>
      <c r="K60" s="66"/>
    </row>
    <row r="61" spans="1:17" x14ac:dyDescent="0.2">
      <c r="A61" s="39" t="s">
        <v>54</v>
      </c>
      <c r="B61" s="39" t="str">
        <f>VLOOKUP(A61,Tableau_REF_Risques[],2,FALSE)</f>
        <v>Compromission d'un service d'accès réseau à distance (ex VPN, VDI…)</v>
      </c>
      <c r="C61" s="39">
        <f>_xlfn.MAXIFS(Tableau_REF_SMSR[Vrais Retenue],Tableau_REF_SMSR['#SM],Tableau_REF_SMMS[[#This Row],['#SM]])</f>
        <v>3</v>
      </c>
      <c r="D61" s="66" t="s">
        <v>262</v>
      </c>
      <c r="E61" s="39" t="str">
        <f>VLOOKUP(D61,Tableau_REF_Mesures[],2,FALSE)</f>
        <v>Sondes spécialisées IDPS (Détection &amp; Prévention d'intrusion)</v>
      </c>
      <c r="F61" s="143">
        <v>4.6874999999999993E-2</v>
      </c>
      <c r="G61" s="143">
        <f>IFERROR(VLOOKUP(Tableau_REF_SMMS[[#This Row],['#MS]],Tableau_REC_Mesures[#All],6,FALSE),0)</f>
        <v>0.8</v>
      </c>
      <c r="H61" s="144">
        <f>IF(VLOOKUP(D61,Tableau_REF_Mesures[],3,FALSE)="OUI",F61+(F61*G61),0)</f>
        <v>8.4374999999999992E-2</v>
      </c>
      <c r="I61" s="79">
        <f>VLOOKUP(D61,Tableau_REF_Mesures[],8,FALSE)*H61/IF(VLOOKUP(D61,Tableau_REF_Mesures[],6,FALSE)&gt;0,VLOOKUP(D61,Tableau_REF_Mesures[],6,FALSE),1)</f>
        <v>1967.9880242559914</v>
      </c>
      <c r="K61" s="66"/>
    </row>
    <row r="62" spans="1:17" x14ac:dyDescent="0.2">
      <c r="A62" s="39" t="s">
        <v>54</v>
      </c>
      <c r="B62" s="39" t="str">
        <f>VLOOKUP(A62,Tableau_REF_Risques[],2,FALSE)</f>
        <v>Compromission d'un service d'accès réseau à distance (ex VPN, VDI…)</v>
      </c>
      <c r="C62" s="39">
        <f>_xlfn.MAXIFS(Tableau_REF_SMSR[Vrais Retenue],Tableau_REF_SMSR['#SM],Tableau_REF_SMMS[[#This Row],['#SM]])</f>
        <v>3</v>
      </c>
      <c r="D62" s="66" t="s">
        <v>264</v>
      </c>
      <c r="E62" s="39" t="str">
        <f>VLOOKUP(D62,Tableau_REF_Mesures[],2,FALSE)</f>
        <v>Solution de gestion des identités et de contrôle d'accès</v>
      </c>
      <c r="F62" s="143">
        <v>0.10937499999999999</v>
      </c>
      <c r="G62" s="143">
        <f>IFERROR(VLOOKUP(Tableau_REF_SMMS[[#This Row],['#MS]],Tableau_REC_Mesures[#All],6,FALSE),0)</f>
        <v>0</v>
      </c>
      <c r="H62" s="144">
        <f>IF(VLOOKUP(D62,Tableau_REF_Mesures[],3,FALSE)="OUI",F62+(F62*G62),0)</f>
        <v>0.10937499999999999</v>
      </c>
      <c r="I62" s="79">
        <f>VLOOKUP(D62,Tableau_REF_Mesures[],8,FALSE)*H62/IF(VLOOKUP(D62,Tableau_REF_Mesures[],6,FALSE)&gt;0,VLOOKUP(D62,Tableau_REF_Mesures[],6,FALSE),1)</f>
        <v>6365.36167443878</v>
      </c>
      <c r="K62" s="66"/>
    </row>
    <row r="63" spans="1:17" x14ac:dyDescent="0.2">
      <c r="A63" s="39" t="s">
        <v>54</v>
      </c>
      <c r="B63" s="39" t="str">
        <f>VLOOKUP(A63,Tableau_REF_Risques[],2,FALSE)</f>
        <v>Compromission d'un service d'accès réseau à distance (ex VPN, VDI…)</v>
      </c>
      <c r="C63" s="39">
        <f>_xlfn.MAXIFS(Tableau_REF_SMSR[Vrais Retenue],Tableau_REF_SMSR['#SM],Tableau_REF_SMMS[[#This Row],['#SM]])</f>
        <v>3</v>
      </c>
      <c r="D63" s="66" t="s">
        <v>265</v>
      </c>
      <c r="E63" s="39" t="str">
        <f>VLOOKUP(D63,Tableau_REF_Mesures[],2,FALSE)</f>
        <v>Solution de détection et de gestion des vulnérabilités</v>
      </c>
      <c r="F63" s="143">
        <v>0.125</v>
      </c>
      <c r="G63" s="143">
        <f>IFERROR(VLOOKUP(Tableau_REF_SMMS[[#This Row],['#MS]],Tableau_REC_Mesures[#All],6,FALSE),0)</f>
        <v>0</v>
      </c>
      <c r="H63" s="144">
        <f>IF(VLOOKUP(D63,Tableau_REF_Mesures[],3,FALSE)="OUI",F63+(F63*G63),0)</f>
        <v>0.125</v>
      </c>
      <c r="I63" s="79">
        <f>VLOOKUP(D63,Tableau_REF_Mesures[],8,FALSE)*H63/IF(VLOOKUP(D63,Tableau_REF_Mesures[],6,FALSE)&gt;0,VLOOKUP(D63,Tableau_REF_Mesures[],6,FALSE),1)</f>
        <v>5788.9863323997124</v>
      </c>
      <c r="K63" s="66"/>
    </row>
    <row r="64" spans="1:17" x14ac:dyDescent="0.2">
      <c r="A64" s="39" t="s">
        <v>54</v>
      </c>
      <c r="B64" s="39" t="str">
        <f>VLOOKUP(A64,Tableau_REF_Risques[],2,FALSE)</f>
        <v>Compromission d'un service d'accès réseau à distance (ex VPN, VDI…)</v>
      </c>
      <c r="C64" s="39">
        <f>_xlfn.MAXIFS(Tableau_REF_SMSR[Vrais Retenue],Tableau_REF_SMSR['#SM],Tableau_REF_SMMS[[#This Row],['#SM]])</f>
        <v>3</v>
      </c>
      <c r="D64" s="66" t="s">
        <v>278</v>
      </c>
      <c r="E64" s="39" t="str">
        <f>VLOOKUP(D64,Tableau_REF_Mesures[],2,FALSE)</f>
        <v>Solution de collecte et de traitement des événements (SIEM)</v>
      </c>
      <c r="F64" s="143">
        <v>3.125E-2</v>
      </c>
      <c r="G64" s="143">
        <f>IFERROR(VLOOKUP(Tableau_REF_SMMS[[#This Row],['#MS]],Tableau_REC_Mesures[#All],6,FALSE),0)</f>
        <v>0</v>
      </c>
      <c r="H64" s="144">
        <f>IF(VLOOKUP(D64,Tableau_REF_Mesures[],3,FALSE)="OUI",F64+(F64*G64),0)</f>
        <v>3.125E-2</v>
      </c>
      <c r="I64" s="79">
        <f>VLOOKUP(D64,Tableau_REF_Mesures[],8,FALSE)*H64/IF(VLOOKUP(D64,Tableau_REF_Mesures[],6,FALSE)&gt;0,VLOOKUP(D64,Tableau_REF_Mesures[],6,FALSE),1)</f>
        <v>123.61723065058698</v>
      </c>
      <c r="K64" s="66"/>
    </row>
    <row r="65" spans="1:11" x14ac:dyDescent="0.2">
      <c r="A65" s="39" t="s">
        <v>54</v>
      </c>
      <c r="B65" s="39" t="str">
        <f>VLOOKUP(A65,Tableau_REF_Risques[],2,FALSE)</f>
        <v>Compromission d'un service d'accès réseau à distance (ex VPN, VDI…)</v>
      </c>
      <c r="C65" s="39">
        <f>_xlfn.MAXIFS(Tableau_REF_SMSR[Vrais Retenue],Tableau_REF_SMSR['#SM],Tableau_REF_SMMS[[#This Row],['#SM]])</f>
        <v>3</v>
      </c>
      <c r="D65" s="66" t="s">
        <v>279</v>
      </c>
      <c r="E65" s="39" t="str">
        <f>VLOOKUP(D65,Tableau_REF_Mesures[],2,FALSE)</f>
        <v>Solution de contrôle de configuration technique (ex Puppet,Ansible)</v>
      </c>
      <c r="F65" s="143">
        <v>7.8125E-2</v>
      </c>
      <c r="G65" s="143">
        <f>IFERROR(VLOOKUP(Tableau_REF_SMMS[[#This Row],['#MS]],Tableau_REC_Mesures[#All],6,FALSE),0)</f>
        <v>0</v>
      </c>
      <c r="H65" s="144">
        <f>IF(VLOOKUP(D65,Tableau_REF_Mesures[],3,FALSE)="OUI",F65+(F65*G65),0)</f>
        <v>7.8125E-2</v>
      </c>
      <c r="I65" s="79">
        <f>VLOOKUP(D65,Tableau_REF_Mesures[],8,FALSE)*H65/IF(VLOOKUP(D65,Tableau_REF_Mesures[],6,FALSE)&gt;0,VLOOKUP(D65,Tableau_REF_Mesures[],6,FALSE),1)</f>
        <v>2175.8163456848347</v>
      </c>
      <c r="K65" s="66"/>
    </row>
    <row r="66" spans="1:11" x14ac:dyDescent="0.2">
      <c r="A66" s="39" t="s">
        <v>54</v>
      </c>
      <c r="B66" s="39" t="str">
        <f>VLOOKUP(A66,Tableau_REF_Risques[],2,FALSE)</f>
        <v>Compromission d'un service d'accès réseau à distance (ex VPN, VDI…)</v>
      </c>
      <c r="C66" s="39">
        <f>_xlfn.MAXIFS(Tableau_REF_SMSR[Vrais Retenue],Tableau_REF_SMSR['#SM],Tableau_REF_SMMS[[#This Row],['#SM]])</f>
        <v>3</v>
      </c>
      <c r="D66" s="66" t="s">
        <v>282</v>
      </c>
      <c r="E66" s="39" t="str">
        <f>VLOOKUP(D66,Tableau_REF_Mesures[],2,FALSE)</f>
        <v>Service de supervision de sécurité (SOC)</v>
      </c>
      <c r="F66" s="143">
        <v>4.6874999999999993E-2</v>
      </c>
      <c r="G66" s="143">
        <f>IFERROR(VLOOKUP(Tableau_REF_SMMS[[#This Row],['#MS]],Tableau_REC_Mesures[#All],6,FALSE),0)</f>
        <v>0</v>
      </c>
      <c r="H66" s="144">
        <f>IF(VLOOKUP(D66,Tableau_REF_Mesures[],3,FALSE)="OUI",F66+(F66*G66),0)</f>
        <v>4.6874999999999993E-2</v>
      </c>
      <c r="I66" s="79">
        <f>VLOOKUP(D66,Tableau_REF_Mesures[],8,FALSE)*H66/IF(VLOOKUP(D66,Tableau_REF_Mesures[],6,FALSE)&gt;0,VLOOKUP(D66,Tableau_REF_Mesures[],6,FALSE),1)</f>
        <v>1477.4713262208895</v>
      </c>
      <c r="K66" s="66"/>
    </row>
    <row r="67" spans="1:11" x14ac:dyDescent="0.2">
      <c r="A67" s="39" t="s">
        <v>54</v>
      </c>
      <c r="B67" s="39" t="str">
        <f>VLOOKUP(A67,Tableau_REF_Risques[],2,FALSE)</f>
        <v>Compromission d'un service d'accès réseau à distance (ex VPN, VDI…)</v>
      </c>
      <c r="C67" s="39">
        <f>_xlfn.MAXIFS(Tableau_REF_SMSR[Vrais Retenue],Tableau_REF_SMSR['#SM],Tableau_REF_SMMS[[#This Row],['#SM]])</f>
        <v>3</v>
      </c>
      <c r="D67" s="66" t="s">
        <v>283</v>
      </c>
      <c r="E67" s="39" t="str">
        <f>VLOOKUP(D67,Tableau_REF_Mesures[],2,FALSE)</f>
        <v>Service de gestion des solutions de sécurité</v>
      </c>
      <c r="F67" s="143">
        <v>0.125</v>
      </c>
      <c r="G67" s="143">
        <f>IFERROR(VLOOKUP(Tableau_REF_SMMS[[#This Row],['#MS]],Tableau_REC_Mesures[#All],6,FALSE),0)</f>
        <v>0</v>
      </c>
      <c r="H67" s="144">
        <f>IF(VLOOKUP(D67,Tableau_REF_Mesures[],3,FALSE)="OUI",F67+(F67*G67),0)</f>
        <v>0.125</v>
      </c>
      <c r="I67" s="79"/>
      <c r="K67" s="66"/>
    </row>
    <row r="68" spans="1:11" x14ac:dyDescent="0.2">
      <c r="A68" s="39" t="s">
        <v>54</v>
      </c>
      <c r="B68" s="39" t="str">
        <f>VLOOKUP(A68,Tableau_REF_Risques[],2,FALSE)</f>
        <v>Compromission d'un service d'accès réseau à distance (ex VPN, VDI…)</v>
      </c>
      <c r="C68" s="39">
        <f>_xlfn.MAXIFS(Tableau_REF_SMSR[Vrais Retenue],Tableau_REF_SMSR['#SM],Tableau_REF_SMMS[[#This Row],['#SM]])</f>
        <v>3</v>
      </c>
      <c r="D68" s="66" t="s">
        <v>286</v>
      </c>
      <c r="E68" s="39" t="str">
        <f>VLOOKUP(D68,Tableau_REF_Mesures[],2,FALSE)</f>
        <v>Service d'audit SSI</v>
      </c>
      <c r="F68" s="143">
        <v>7.8125E-2</v>
      </c>
      <c r="G68" s="143">
        <f>IFERROR(VLOOKUP(Tableau_REF_SMMS[[#This Row],['#MS]],Tableau_REC_Mesures[#All],6,FALSE),0)</f>
        <v>0</v>
      </c>
      <c r="H68" s="144">
        <f>IF(VLOOKUP(D68,Tableau_REF_Mesures[],3,FALSE)="OUI",F68+(F68*G68),0)</f>
        <v>7.8125E-2</v>
      </c>
      <c r="I68" s="79">
        <f>VLOOKUP(D68,Tableau_REF_Mesures[],8,FALSE)*H68/IF(VLOOKUP(D68,Tableau_REF_Mesures[],6,FALSE)&gt;0,VLOOKUP(D68,Tableau_REF_Mesures[],6,FALSE),1)</f>
        <v>4226.0363213205901</v>
      </c>
      <c r="K68" s="66"/>
    </row>
    <row r="69" spans="1:11" x14ac:dyDescent="0.2">
      <c r="A69" s="65" t="s">
        <v>71</v>
      </c>
      <c r="B69" s="39" t="str">
        <f>VLOOKUP(A69,Tableau_REF_Risques[],2,FALSE)</f>
        <v>Abus de droits en vue d'effectuer une action malveillante</v>
      </c>
      <c r="C69" s="39">
        <f>_xlfn.MAXIFS(Tableau_REF_SMSR[Vrais Retenue],Tableau_REF_SMSR['#SM],Tableau_REF_SMMS[[#This Row],['#SM]])</f>
        <v>2</v>
      </c>
      <c r="D69" s="66" t="s">
        <v>264</v>
      </c>
      <c r="E69" s="39" t="str">
        <f>VLOOKUP(D69,Tableau_REF_Mesures[],2,FALSE)</f>
        <v>Solution de gestion des identités et de contrôle d'accès</v>
      </c>
      <c r="F69" s="143">
        <v>0.25</v>
      </c>
      <c r="G69" s="143">
        <f>IFERROR(VLOOKUP(Tableau_REF_SMMS[[#This Row],['#MS]],Tableau_REC_Mesures[#All],6,FALSE),0)</f>
        <v>0</v>
      </c>
      <c r="H69" s="144">
        <f>IF(VLOOKUP(D69,Tableau_REF_Mesures[],3,FALSE)="OUI",F69+(F69*G69),0)</f>
        <v>0.25</v>
      </c>
      <c r="I69" s="79">
        <f>VLOOKUP(D69,Tableau_REF_Mesures[],8,FALSE)*H69/IF(VLOOKUP(D69,Tableau_REF_Mesures[],6,FALSE)&gt;0,VLOOKUP(D69,Tableau_REF_Mesures[],6,FALSE),1)</f>
        <v>14549.398113002928</v>
      </c>
    </row>
    <row r="70" spans="1:11" x14ac:dyDescent="0.2">
      <c r="A70" s="65" t="s">
        <v>71</v>
      </c>
      <c r="B70" s="39" t="str">
        <f>VLOOKUP(A70,Tableau_REF_Risques[],2,FALSE)</f>
        <v>Abus de droits en vue d'effectuer une action malveillante</v>
      </c>
      <c r="C70" s="39">
        <f>_xlfn.MAXIFS(Tableau_REF_SMSR[Vrais Retenue],Tableau_REF_SMSR['#SM],Tableau_REF_SMMS[[#This Row],['#SM]])</f>
        <v>2</v>
      </c>
      <c r="D70" s="66" t="s">
        <v>276</v>
      </c>
      <c r="E70" s="39" t="str">
        <f>VLOOKUP(D70,Tableau_REF_Mesures[],2,FALSE)</f>
        <v>Solution de protection Cloud (CASB/CSPM)</v>
      </c>
      <c r="F70" s="143">
        <v>8.3333333333333343E-2</v>
      </c>
      <c r="G70" s="143">
        <f>IFERROR(VLOOKUP(Tableau_REF_SMMS[[#This Row],['#MS]],Tableau_REC_Mesures[#All],6,FALSE),0)</f>
        <v>0</v>
      </c>
      <c r="H70" s="144">
        <f>IF(VLOOKUP(D70,Tableau_REF_Mesures[],3,FALSE)="OUI",F70+(F70*G70),0)</f>
        <v>8.3333333333333343E-2</v>
      </c>
      <c r="I70" s="79">
        <f>VLOOKUP(D70,Tableau_REF_Mesures[],8,FALSE)*H70/IF(VLOOKUP(D70,Tableau_REF_Mesures[],6,FALSE)&gt;0,VLOOKUP(D70,Tableau_REF_Mesures[],6,FALSE),1)</f>
        <v>7481.2886430198505</v>
      </c>
    </row>
    <row r="71" spans="1:11" x14ac:dyDescent="0.2">
      <c r="A71" s="65" t="s">
        <v>71</v>
      </c>
      <c r="B71" s="39" t="str">
        <f>VLOOKUP(A71,Tableau_REF_Risques[],2,FALSE)</f>
        <v>Abus de droits en vue d'effectuer une action malveillante</v>
      </c>
      <c r="C71" s="39">
        <f>_xlfn.MAXIFS(Tableau_REF_SMSR[Vrais Retenue],Tableau_REF_SMSR['#SM],Tableau_REF_SMMS[[#This Row],['#SM]])</f>
        <v>2</v>
      </c>
      <c r="D71" s="66" t="s">
        <v>277</v>
      </c>
      <c r="E71" s="39" t="str">
        <f>VLOOKUP(D71,Tableau_REF_Mesures[],2,FALSE)</f>
        <v>Solution de prévention des fuites de données (DLP)</v>
      </c>
      <c r="F71" s="143">
        <v>8.3333333333333343E-2</v>
      </c>
      <c r="G71" s="143">
        <f>IFERROR(VLOOKUP(Tableau_REF_SMMS[[#This Row],['#MS]],Tableau_REC_Mesures[#All],6,FALSE),0)</f>
        <v>0</v>
      </c>
      <c r="H71" s="144">
        <f>IF(VLOOKUP(D71,Tableau_REF_Mesures[],3,FALSE)="OUI",F71+(F71*G71),0)</f>
        <v>8.3333333333333343E-2</v>
      </c>
      <c r="I71" s="79">
        <f>VLOOKUP(D71,Tableau_REF_Mesures[],8,FALSE)*H71/IF(VLOOKUP(D71,Tableau_REF_Mesures[],6,FALSE)&gt;0,VLOOKUP(D71,Tableau_REF_Mesures[],6,FALSE),1)</f>
        <v>19705.882352941178</v>
      </c>
    </row>
    <row r="72" spans="1:11" x14ac:dyDescent="0.2">
      <c r="A72" s="65" t="s">
        <v>71</v>
      </c>
      <c r="B72" s="39" t="str">
        <f>VLOOKUP(A72,Tableau_REF_Risques[],2,FALSE)</f>
        <v>Abus de droits en vue d'effectuer une action malveillante</v>
      </c>
      <c r="C72" s="39">
        <f>_xlfn.MAXIFS(Tableau_REF_SMSR[Vrais Retenue],Tableau_REF_SMSR['#SM],Tableau_REF_SMMS[[#This Row],['#SM]])</f>
        <v>2</v>
      </c>
      <c r="D72" s="66" t="s">
        <v>278</v>
      </c>
      <c r="E72" s="39" t="str">
        <f>VLOOKUP(D72,Tableau_REF_Mesures[],2,FALSE)</f>
        <v>Solution de collecte et de traitement des événements (SIEM)</v>
      </c>
      <c r="F72" s="143">
        <v>0.20833333333333334</v>
      </c>
      <c r="G72" s="143">
        <f>IFERROR(VLOOKUP(Tableau_REF_SMMS[[#This Row],['#MS]],Tableau_REC_Mesures[#All],6,FALSE),0)</f>
        <v>0</v>
      </c>
      <c r="H72" s="144">
        <f>IF(VLOOKUP(D72,Tableau_REF_Mesures[],3,FALSE)="OUI",F72+(F72*G72),0)</f>
        <v>0.20833333333333334</v>
      </c>
      <c r="I72" s="79">
        <f>VLOOKUP(D72,Tableau_REF_Mesures[],8,FALSE)*H72/IF(VLOOKUP(D72,Tableau_REF_Mesures[],6,FALSE)&gt;0,VLOOKUP(D72,Tableau_REF_Mesures[],6,FALSE),1)</f>
        <v>824.11487100391321</v>
      </c>
    </row>
    <row r="73" spans="1:11" x14ac:dyDescent="0.2">
      <c r="A73" s="65" t="s">
        <v>71</v>
      </c>
      <c r="B73" s="39" t="str">
        <f>VLOOKUP(A73,Tableau_REF_Risques[],2,FALSE)</f>
        <v>Abus de droits en vue d'effectuer une action malveillante</v>
      </c>
      <c r="C73" s="39">
        <f>_xlfn.MAXIFS(Tableau_REF_SMSR[Vrais Retenue],Tableau_REF_SMSR['#SM],Tableau_REF_SMMS[[#This Row],['#SM]])</f>
        <v>2</v>
      </c>
      <c r="D73" s="66" t="s">
        <v>282</v>
      </c>
      <c r="E73" s="39" t="str">
        <f>VLOOKUP(D73,Tableau_REF_Mesures[],2,FALSE)</f>
        <v>Service de supervision de sécurité (SOC)</v>
      </c>
      <c r="F73" s="143">
        <v>0.125</v>
      </c>
      <c r="G73" s="143">
        <f>IFERROR(VLOOKUP(Tableau_REF_SMMS[[#This Row],['#MS]],Tableau_REC_Mesures[#All],6,FALSE),0)</f>
        <v>0</v>
      </c>
      <c r="H73" s="144">
        <f>IF(VLOOKUP(D73,Tableau_REF_Mesures[],3,FALSE)="OUI",F73+(F73*G73),0)</f>
        <v>0.125</v>
      </c>
      <c r="I73" s="79">
        <f>VLOOKUP(D73,Tableau_REF_Mesures[],8,FALSE)*H73/IF(VLOOKUP(D73,Tableau_REF_Mesures[],6,FALSE)&gt;0,VLOOKUP(D73,Tableau_REF_Mesures[],6,FALSE),1)</f>
        <v>3939.923536589039</v>
      </c>
    </row>
    <row r="74" spans="1:11" x14ac:dyDescent="0.2">
      <c r="A74" s="65" t="s">
        <v>71</v>
      </c>
      <c r="B74" s="39" t="str">
        <f>VLOOKUP(A74,Tableau_REF_Risques[],2,FALSE)</f>
        <v>Abus de droits en vue d'effectuer une action malveillante</v>
      </c>
      <c r="C74" s="39">
        <f>_xlfn.MAXIFS(Tableau_REF_SMSR[Vrais Retenue],Tableau_REF_SMSR['#SM],Tableau_REF_SMMS[[#This Row],['#SM]])</f>
        <v>2</v>
      </c>
      <c r="D74" s="66" t="s">
        <v>283</v>
      </c>
      <c r="E74" s="39" t="str">
        <f>VLOOKUP(D74,Tableau_REF_Mesures[],2,FALSE)</f>
        <v>Service de gestion des solutions de sécurité</v>
      </c>
      <c r="F74" s="143">
        <v>0.125</v>
      </c>
      <c r="G74" s="143">
        <f>IFERROR(VLOOKUP(Tableau_REF_SMMS[[#This Row],['#MS]],Tableau_REC_Mesures[#All],6,FALSE),0)</f>
        <v>0</v>
      </c>
      <c r="H74" s="144">
        <f>IF(VLOOKUP(D74,Tableau_REF_Mesures[],3,FALSE)="OUI",F74+(F74*G74),0)</f>
        <v>0.125</v>
      </c>
      <c r="I74" s="79"/>
    </row>
    <row r="75" spans="1:11" x14ac:dyDescent="0.2">
      <c r="A75" s="65" t="s">
        <v>71</v>
      </c>
      <c r="B75" s="39" t="str">
        <f>VLOOKUP(A75,Tableau_REF_Risques[],2,FALSE)</f>
        <v>Abus de droits en vue d'effectuer une action malveillante</v>
      </c>
      <c r="C75" s="39">
        <f>_xlfn.MAXIFS(Tableau_REF_SMSR[Vrais Retenue],Tableau_REF_SMSR['#SM],Tableau_REF_SMMS[[#This Row],['#SM]])</f>
        <v>2</v>
      </c>
      <c r="D75" s="66" t="s">
        <v>286</v>
      </c>
      <c r="E75" s="39" t="str">
        <f>VLOOKUP(D75,Tableau_REF_Mesures[],2,FALSE)</f>
        <v>Service d'audit SSI</v>
      </c>
      <c r="F75" s="143">
        <v>0.125</v>
      </c>
      <c r="G75" s="143">
        <f>IFERROR(VLOOKUP(Tableau_REF_SMMS[[#This Row],['#MS]],Tableau_REC_Mesures[#All],6,FALSE),0)</f>
        <v>0</v>
      </c>
      <c r="H75" s="144">
        <f>IF(VLOOKUP(D75,Tableau_REF_Mesures[],3,FALSE)="OUI",F75+(F75*G75),0)</f>
        <v>0.125</v>
      </c>
      <c r="I75" s="79">
        <f>VLOOKUP(D75,Tableau_REF_Mesures[],8,FALSE)*H75/IF(VLOOKUP(D75,Tableau_REF_Mesures[],6,FALSE)&gt;0,VLOOKUP(D75,Tableau_REF_Mesures[],6,FALSE),1)</f>
        <v>6761.6581141129445</v>
      </c>
    </row>
    <row r="76" spans="1:11" x14ac:dyDescent="0.2">
      <c r="A76" s="39" t="s">
        <v>53</v>
      </c>
      <c r="B76" s="39" t="str">
        <f>VLOOKUP(A76,Tableau_REF_Risques[],2,FALSE)</f>
        <v>Compromission d'un poste par Phishing de l'utilisateur (Pièce jointe ou URL piégée)</v>
      </c>
      <c r="C76" s="39">
        <f>_xlfn.MAXIFS(Tableau_REF_SMSR[Vrais Retenue],Tableau_REF_SMSR['#SM],Tableau_REF_SMMS[[#This Row],['#SM]])</f>
        <v>4</v>
      </c>
      <c r="D76" s="66" t="s">
        <v>250</v>
      </c>
      <c r="E76" s="39" t="str">
        <f>VLOOKUP(D76,Tableau_REF_Mesures[],2,FALSE)</f>
        <v>Solution Proxy / Web Gateway (élémentaire)</v>
      </c>
      <c r="F76" s="143">
        <v>1.6129032258064516E-2</v>
      </c>
      <c r="G76" s="143">
        <f>IFERROR(VLOOKUP(Tableau_REF_SMMS[[#This Row],['#MS]],Tableau_REC_Mesures[#All],6,FALSE),0)</f>
        <v>1</v>
      </c>
      <c r="H76" s="144">
        <f>IF(VLOOKUP(D76,Tableau_REF_Mesures[],3,FALSE)="OUI",F76+(F76*G76),0)</f>
        <v>0</v>
      </c>
      <c r="I76" s="79">
        <f>VLOOKUP(D76,Tableau_REF_Mesures[],8,FALSE)*H76/IF(VLOOKUP(D76,Tableau_REF_Mesures[],6,FALSE)&gt;0,VLOOKUP(D76,Tableau_REF_Mesures[],6,FALSE),1)</f>
        <v>0</v>
      </c>
    </row>
    <row r="77" spans="1:11" x14ac:dyDescent="0.2">
      <c r="A77" s="39" t="s">
        <v>53</v>
      </c>
      <c r="B77" s="39" t="str">
        <f>VLOOKUP(A77,Tableau_REF_Risques[],2,FALSE)</f>
        <v>Compromission d'un poste par Phishing de l'utilisateur (Pièce jointe ou URL piégée)</v>
      </c>
      <c r="C77" s="39">
        <f>_xlfn.MAXIFS(Tableau_REF_SMSR[Vrais Retenue],Tableau_REF_SMSR['#SM],Tableau_REF_SMMS[[#This Row],['#SM]])</f>
        <v>4</v>
      </c>
      <c r="D77" s="66" t="s">
        <v>252</v>
      </c>
      <c r="E77" s="39" t="str">
        <f>VLOOKUP(D77,Tableau_REF_Mesures[],2,FALSE)</f>
        <v>Solution Proxy / Web Gateway (intermédiaire)</v>
      </c>
      <c r="F77" s="143">
        <v>9.6774193548387094E-2</v>
      </c>
      <c r="G77" s="143">
        <f>IFERROR(VLOOKUP(Tableau_REF_SMMS[[#This Row],['#MS]],Tableau_REC_Mesures[#All],6,FALSE),0)</f>
        <v>1</v>
      </c>
      <c r="H77" s="144">
        <f>IF(VLOOKUP(D77,Tableau_REF_Mesures[],3,FALSE)="OUI",F77+(F77*G77),0)</f>
        <v>0.19354838709677419</v>
      </c>
      <c r="I77" s="79">
        <f>VLOOKUP(D77,Tableau_REF_Mesures[],8,FALSE)*H77/IF(VLOOKUP(D77,Tableau_REF_Mesures[],6,FALSE)&gt;0,VLOOKUP(D77,Tableau_REF_Mesures[],6,FALSE),1)</f>
        <v>3996.8318812789194</v>
      </c>
    </row>
    <row r="78" spans="1:11" x14ac:dyDescent="0.2">
      <c r="A78" s="39" t="s">
        <v>53</v>
      </c>
      <c r="B78" s="39" t="str">
        <f>VLOOKUP(A78,Tableau_REF_Risques[],2,FALSE)</f>
        <v>Compromission d'un poste par Phishing de l'utilisateur (Pièce jointe ou URL piégée)</v>
      </c>
      <c r="C78" s="39">
        <f>_xlfn.MAXIFS(Tableau_REF_SMSR[Vrais Retenue],Tableau_REF_SMSR['#SM],Tableau_REF_SMMS[[#This Row],['#SM]])</f>
        <v>4</v>
      </c>
      <c r="D78" s="66" t="s">
        <v>254</v>
      </c>
      <c r="E78" s="39" t="str">
        <f>VLOOKUP(D78,Tableau_REF_Mesures[],2,FALSE)</f>
        <v>Solution Proxy / Web Gateway (avancé)</v>
      </c>
      <c r="F78" s="145">
        <v>0.24193548387096775</v>
      </c>
      <c r="G78" s="143">
        <f>IFERROR(VLOOKUP(Tableau_REF_SMMS[[#This Row],['#MS]],Tableau_REC_Mesures[#All],6,FALSE),0)</f>
        <v>0.9</v>
      </c>
      <c r="H78" s="144">
        <f>IF(VLOOKUP(D78,Tableau_REF_Mesures[],3,FALSE)="OUI",F78+(F78*G78),0)</f>
        <v>0</v>
      </c>
      <c r="I78" s="79">
        <f>VLOOKUP(D78,Tableau_REF_Mesures[],8,FALSE)*H78/IF(VLOOKUP(D78,Tableau_REF_Mesures[],6,FALSE)&gt;0,VLOOKUP(D78,Tableau_REF_Mesures[],6,FALSE),1)</f>
        <v>0</v>
      </c>
    </row>
    <row r="79" spans="1:11" x14ac:dyDescent="0.2">
      <c r="A79" s="39" t="s">
        <v>53</v>
      </c>
      <c r="B79" s="39" t="str">
        <f>VLOOKUP(A79,Tableau_REF_Risques[],2,FALSE)</f>
        <v>Compromission d'un poste par Phishing de l'utilisateur (Pièce jointe ou URL piégée)</v>
      </c>
      <c r="C79" s="39">
        <f>_xlfn.MAXIFS(Tableau_REF_SMSR[Vrais Retenue],Tableau_REF_SMSR['#SM],Tableau_REF_SMMS[[#This Row],['#SM]])</f>
        <v>4</v>
      </c>
      <c r="D79" s="66" t="s">
        <v>262</v>
      </c>
      <c r="E79" s="39" t="str">
        <f>VLOOKUP(D79,Tableau_REF_Mesures[],2,FALSE)</f>
        <v>Sondes spécialisées IDPS (Détection &amp; Prévention d'intrusion)</v>
      </c>
      <c r="F79" s="145">
        <v>9.6774193548387094E-2</v>
      </c>
      <c r="G79" s="143">
        <f>IFERROR(VLOOKUP(Tableau_REF_SMMS[[#This Row],['#MS]],Tableau_REC_Mesures[#All],6,FALSE),0)</f>
        <v>0.8</v>
      </c>
      <c r="H79" s="144">
        <f>IF(VLOOKUP(D79,Tableau_REF_Mesures[],3,FALSE)="OUI",F79+(F79*G79),0)</f>
        <v>0.17419354838709677</v>
      </c>
      <c r="I79" s="79">
        <f>VLOOKUP(D79,Tableau_REF_Mesures[],8,FALSE)*H79/IF(VLOOKUP(D79,Tableau_REF_Mesures[],6,FALSE)&gt;0,VLOOKUP(D79,Tableau_REF_Mesures[],6,FALSE),1)</f>
        <v>4062.9430178188218</v>
      </c>
    </row>
    <row r="80" spans="1:11" x14ac:dyDescent="0.2">
      <c r="A80" s="39" t="s">
        <v>53</v>
      </c>
      <c r="B80" s="39" t="str">
        <f>VLOOKUP(A80,Tableau_REF_Risques[],2,FALSE)</f>
        <v>Compromission d'un poste par Phishing de l'utilisateur (Pièce jointe ou URL piégée)</v>
      </c>
      <c r="C80" s="39">
        <f>_xlfn.MAXIFS(Tableau_REF_SMSR[Vrais Retenue],Tableau_REF_SMSR['#SM],Tableau_REF_SMMS[[#This Row],['#SM]])</f>
        <v>4</v>
      </c>
      <c r="D80" s="66" t="s">
        <v>267</v>
      </c>
      <c r="E80" s="39" t="str">
        <f>VLOOKUP(D80,Tableau_REF_Mesures[],2,FALSE)</f>
        <v>Solution de protection des mails (élémentaire)</v>
      </c>
      <c r="F80" s="143">
        <v>4.8387096774193547E-2</v>
      </c>
      <c r="G80" s="143">
        <f>IFERROR(VLOOKUP(Tableau_REF_SMMS[[#This Row],['#MS]],Tableau_REC_Mesures[#All],6,FALSE),0)</f>
        <v>0.7</v>
      </c>
      <c r="H80" s="144">
        <f>IF(VLOOKUP(D80,Tableau_REF_Mesures[],3,FALSE)="OUI",F80+(F80*G80),0)</f>
        <v>0</v>
      </c>
      <c r="I80" s="79">
        <f>VLOOKUP(D80,Tableau_REF_Mesures[],8,FALSE)*H80/IF(VLOOKUP(D80,Tableau_REF_Mesures[],6,FALSE)&gt;0,VLOOKUP(D80,Tableau_REF_Mesures[],6,FALSE),1)</f>
        <v>0</v>
      </c>
    </row>
    <row r="81" spans="1:9" x14ac:dyDescent="0.2">
      <c r="A81" s="39" t="s">
        <v>53</v>
      </c>
      <c r="B81" s="39" t="str">
        <f>VLOOKUP(A81,Tableau_REF_Risques[],2,FALSE)</f>
        <v>Compromission d'un poste par Phishing de l'utilisateur (Pièce jointe ou URL piégée)</v>
      </c>
      <c r="C81" s="39">
        <f>_xlfn.MAXIFS(Tableau_REF_SMSR[Vrais Retenue],Tableau_REF_SMSR['#SM],Tableau_REF_SMMS[[#This Row],['#SM]])</f>
        <v>4</v>
      </c>
      <c r="D81" s="66" t="s">
        <v>269</v>
      </c>
      <c r="E81" s="39" t="str">
        <f>VLOOKUP(D81,Tableau_REF_Mesures[],2,FALSE)</f>
        <v>Solution de protection des mails (avancé)</v>
      </c>
      <c r="F81" s="145">
        <v>0.16129032258064513</v>
      </c>
      <c r="G81" s="143">
        <f>IFERROR(VLOOKUP(Tableau_REF_SMMS[[#This Row],['#MS]],Tableau_REC_Mesures[#All],6,FALSE),0)</f>
        <v>0.5</v>
      </c>
      <c r="H81" s="144">
        <f>IF(VLOOKUP(D81,Tableau_REF_Mesures[],3,FALSE)="OUI",F81+(F81*G81),0)</f>
        <v>0.24193548387096769</v>
      </c>
      <c r="I81" s="79">
        <f>VLOOKUP(D81,Tableau_REF_Mesures[],8,FALSE)*H81/IF(VLOOKUP(D81,Tableau_REF_Mesures[],6,FALSE)&gt;0,VLOOKUP(D81,Tableau_REF_Mesures[],6,FALSE),1)</f>
        <v>12962.962962962962</v>
      </c>
    </row>
    <row r="82" spans="1:9" x14ac:dyDescent="0.2">
      <c r="A82" s="39" t="s">
        <v>53</v>
      </c>
      <c r="B82" s="39" t="str">
        <f>VLOOKUP(A82,Tableau_REF_Risques[],2,FALSE)</f>
        <v>Compromission d'un poste par Phishing de l'utilisateur (Pièce jointe ou URL piégée)</v>
      </c>
      <c r="C82" s="39">
        <f>_xlfn.MAXIFS(Tableau_REF_SMSR[Vrais Retenue],Tableau_REF_SMSR['#SM],Tableau_REF_SMMS[[#This Row],['#SM]])</f>
        <v>4</v>
      </c>
      <c r="D82" s="66" t="s">
        <v>272</v>
      </c>
      <c r="E82" s="39" t="str">
        <f>VLOOKUP(D82,Tableau_REF_Mesures[],2,FALSE)</f>
        <v>Solution de protection des terminaux (Antimalware basique)</v>
      </c>
      <c r="F82" s="143">
        <v>4.8387096774193547E-2</v>
      </c>
      <c r="G82" s="143">
        <f>IFERROR(VLOOKUP(Tableau_REF_SMMS[[#This Row],['#MS]],Tableau_REC_Mesures[#All],6,FALSE),0)</f>
        <v>0</v>
      </c>
      <c r="H82" s="144">
        <f>IF(VLOOKUP(D82,Tableau_REF_Mesures[],3,FALSE)="OUI",F82+(F82*G82),0)</f>
        <v>0</v>
      </c>
      <c r="I82" s="79">
        <f>VLOOKUP(D82,Tableau_REF_Mesures[],8,FALSE)*H82/IF(VLOOKUP(D82,Tableau_REF_Mesures[],6,FALSE)&gt;0,VLOOKUP(D82,Tableau_REF_Mesures[],6,FALSE),1)</f>
        <v>0</v>
      </c>
    </row>
    <row r="83" spans="1:9" x14ac:dyDescent="0.2">
      <c r="A83" s="39" t="s">
        <v>53</v>
      </c>
      <c r="B83" s="39" t="str">
        <f>VLOOKUP(A83,Tableau_REF_Risques[],2,FALSE)</f>
        <v>Compromission d'un poste par Phishing de l'utilisateur (Pièce jointe ou URL piégée)</v>
      </c>
      <c r="C83" s="39">
        <f>_xlfn.MAXIFS(Tableau_REF_SMSR[Vrais Retenue],Tableau_REF_SMSR['#SM],Tableau_REF_SMMS[[#This Row],['#SM]])</f>
        <v>4</v>
      </c>
      <c r="D83" s="66" t="s">
        <v>273</v>
      </c>
      <c r="E83" s="39" t="str">
        <f>VLOOKUP(D83,Tableau_REF_Mesures[],2,FALSE)</f>
        <v>Solution de protection des terminaux (EDR)</v>
      </c>
      <c r="F83" s="145">
        <v>0.17741935483870969</v>
      </c>
      <c r="G83" s="143">
        <f>IFERROR(VLOOKUP(Tableau_REF_SMMS[[#This Row],['#MS]],Tableau_REC_Mesures[#All],6,FALSE),0)</f>
        <v>0</v>
      </c>
      <c r="H83" s="144">
        <f>IF(VLOOKUP(D83,Tableau_REF_Mesures[],3,FALSE)="OUI",F83+(F83*G83),0)</f>
        <v>0.17741935483870969</v>
      </c>
      <c r="I83" s="79">
        <f>VLOOKUP(D83,Tableau_REF_Mesures[],8,FALSE)*H83/IF(VLOOKUP(D83,Tableau_REF_Mesures[],6,FALSE)&gt;0,VLOOKUP(D83,Tableau_REF_Mesures[],6,FALSE),1)</f>
        <v>2845.1570605692937</v>
      </c>
    </row>
    <row r="84" spans="1:9" x14ac:dyDescent="0.2">
      <c r="A84" s="39" t="s">
        <v>53</v>
      </c>
      <c r="B84" s="39" t="str">
        <f>VLOOKUP(A84,Tableau_REF_Risques[],2,FALSE)</f>
        <v>Compromission d'un poste par Phishing de l'utilisateur (Pièce jointe ou URL piégée)</v>
      </c>
      <c r="C84" s="39">
        <f>_xlfn.MAXIFS(Tableau_REF_SMSR[Vrais Retenue],Tableau_REF_SMSR['#SM],Tableau_REF_SMMS[[#This Row],['#SM]])</f>
        <v>4</v>
      </c>
      <c r="D84" s="66" t="s">
        <v>278</v>
      </c>
      <c r="E84" s="39" t="str">
        <f>VLOOKUP(D84,Tableau_REF_Mesures[],2,FALSE)</f>
        <v>Solution de collecte et de traitement des événements (SIEM)</v>
      </c>
      <c r="F84" s="145">
        <v>3.2258064516129031E-2</v>
      </c>
      <c r="G84" s="143">
        <f>IFERROR(VLOOKUP(Tableau_REF_SMMS[[#This Row],['#MS]],Tableau_REC_Mesures[#All],6,FALSE),0)</f>
        <v>0</v>
      </c>
      <c r="H84" s="144">
        <f>IF(VLOOKUP(D84,Tableau_REF_Mesures[],3,FALSE)="OUI",F84+(F84*G84),0)</f>
        <v>3.2258064516129031E-2</v>
      </c>
      <c r="I84" s="79">
        <f>VLOOKUP(D84,Tableau_REF_Mesures[],8,FALSE)*H84/IF(VLOOKUP(D84,Tableau_REF_Mesures[],6,FALSE)&gt;0,VLOOKUP(D84,Tableau_REF_Mesures[],6,FALSE),1)</f>
        <v>127.60488325221881</v>
      </c>
    </row>
    <row r="85" spans="1:9" x14ac:dyDescent="0.2">
      <c r="A85" s="39" t="s">
        <v>53</v>
      </c>
      <c r="B85" s="39" t="str">
        <f>VLOOKUP(A85,Tableau_REF_Risques[],2,FALSE)</f>
        <v>Compromission d'un poste par Phishing de l'utilisateur (Pièce jointe ou URL piégée)</v>
      </c>
      <c r="C85" s="39">
        <f>_xlfn.MAXIFS(Tableau_REF_SMSR[Vrais Retenue],Tableau_REF_SMSR['#SM],Tableau_REF_SMMS[[#This Row],['#SM]])</f>
        <v>4</v>
      </c>
      <c r="D85" s="66" t="s">
        <v>280</v>
      </c>
      <c r="E85" s="39" t="str">
        <f>VLOOKUP(D85,Tableau_REF_Mesures[],2,FALSE)</f>
        <v>Solution de sensibilisation et de formation</v>
      </c>
      <c r="F85" s="145">
        <v>0.1129032258064516</v>
      </c>
      <c r="G85" s="143">
        <f>IFERROR(VLOOKUP(Tableau_REF_SMMS[[#This Row],['#MS]],Tableau_REC_Mesures[#All],6,FALSE),0)</f>
        <v>0</v>
      </c>
      <c r="H85" s="144">
        <f>IF(VLOOKUP(D85,Tableau_REF_Mesures[],3,FALSE)="OUI",F85+(F85*G85),0)</f>
        <v>0.1129032258064516</v>
      </c>
      <c r="I85" s="79">
        <f>VLOOKUP(D85,Tableau_REF_Mesures[],8,FALSE)*H85/IF(VLOOKUP(D85,Tableau_REF_Mesures[],6,FALSE)&gt;0,VLOOKUP(D85,Tableau_REF_Mesures[],6,FALSE),1)</f>
        <v>2823.2832123907574</v>
      </c>
    </row>
    <row r="86" spans="1:9" x14ac:dyDescent="0.2">
      <c r="A86" s="39" t="s">
        <v>53</v>
      </c>
      <c r="B86" s="39" t="str">
        <f>VLOOKUP(A86,Tableau_REF_Risques[],2,FALSE)</f>
        <v>Compromission d'un poste par Phishing de l'utilisateur (Pièce jointe ou URL piégée)</v>
      </c>
      <c r="C86" s="39">
        <f>_xlfn.MAXIFS(Tableau_REF_SMSR[Vrais Retenue],Tableau_REF_SMSR['#SM],Tableau_REF_SMMS[[#This Row],['#SM]])</f>
        <v>4</v>
      </c>
      <c r="D86" s="66" t="s">
        <v>282</v>
      </c>
      <c r="E86" s="39" t="str">
        <f>VLOOKUP(D86,Tableau_REF_Mesures[],2,FALSE)</f>
        <v>Service de supervision de sécurité (SOC)</v>
      </c>
      <c r="F86" s="145">
        <v>4.8387096774193547E-2</v>
      </c>
      <c r="G86" s="143">
        <f>IFERROR(VLOOKUP(Tableau_REF_SMMS[[#This Row],['#MS]],Tableau_REC_Mesures[#All],6,FALSE),0)</f>
        <v>0</v>
      </c>
      <c r="H86" s="144">
        <f>IF(VLOOKUP(D86,Tableau_REF_Mesures[],3,FALSE)="OUI",F86+(F86*G86),0)</f>
        <v>4.8387096774193547E-2</v>
      </c>
      <c r="I86" s="79">
        <f>VLOOKUP(D86,Tableau_REF_Mesures[],8,FALSE)*H86/IF(VLOOKUP(D86,Tableau_REF_Mesures[],6,FALSE)&gt;0,VLOOKUP(D86,Tableau_REF_Mesures[],6,FALSE),1)</f>
        <v>1525.1316915828538</v>
      </c>
    </row>
    <row r="87" spans="1:9" x14ac:dyDescent="0.2">
      <c r="A87" s="39" t="s">
        <v>53</v>
      </c>
      <c r="B87" s="39" t="str">
        <f>VLOOKUP(A87,Tableau_REF_Risques[],2,FALSE)</f>
        <v>Compromission d'un poste par Phishing de l'utilisateur (Pièce jointe ou URL piégée)</v>
      </c>
      <c r="C87" s="39">
        <f>_xlfn.MAXIFS(Tableau_REF_SMSR[Vrais Retenue],Tableau_REF_SMSR['#SM],Tableau_REF_SMMS[[#This Row],['#SM]])</f>
        <v>4</v>
      </c>
      <c r="D87" s="66" t="s">
        <v>283</v>
      </c>
      <c r="E87" s="39" t="str">
        <f>VLOOKUP(D87,Tableau_REF_Mesures[],2,FALSE)</f>
        <v>Service de gestion des solutions de sécurité</v>
      </c>
      <c r="F87" s="145">
        <v>4.8387096774193547E-2</v>
      </c>
      <c r="G87" s="143">
        <f>IFERROR(VLOOKUP(Tableau_REF_SMMS[[#This Row],['#MS]],Tableau_REC_Mesures[#All],6,FALSE),0)</f>
        <v>0</v>
      </c>
      <c r="H87" s="144">
        <f>IF(VLOOKUP(D87,Tableau_REF_Mesures[],3,FALSE)="OUI",F87+(F87*G87),0)</f>
        <v>4.8387096774193547E-2</v>
      </c>
      <c r="I87" s="79"/>
    </row>
    <row r="88" spans="1:9" x14ac:dyDescent="0.2">
      <c r="A88" s="39" t="s">
        <v>53</v>
      </c>
      <c r="B88" s="39" t="str">
        <f>VLOOKUP(A88,Tableau_REF_Risques[],2,FALSE)</f>
        <v>Compromission d'un poste par Phishing de l'utilisateur (Pièce jointe ou URL piégée)</v>
      </c>
      <c r="C88" s="39">
        <f>_xlfn.MAXIFS(Tableau_REF_SMSR[Vrais Retenue],Tableau_REF_SMSR['#SM],Tableau_REF_SMMS[[#This Row],['#SM]])</f>
        <v>4</v>
      </c>
      <c r="D88" s="66" t="s">
        <v>284</v>
      </c>
      <c r="E88" s="39" t="str">
        <f>VLOOKUP(D88,Tableau_REF_Mesures[],2,FALSE)</f>
        <v>Service de Veille et de réponse à incidents (CERT/CSIRT)</v>
      </c>
      <c r="F88" s="145">
        <v>8.0645162000000006E-2</v>
      </c>
      <c r="G88" s="143">
        <f>IFERROR(VLOOKUP(Tableau_REF_SMMS[[#This Row],['#MS]],Tableau_REC_Mesures[#All],6,FALSE),0)</f>
        <v>0</v>
      </c>
      <c r="H88" s="144">
        <f>IF(VLOOKUP(D88,Tableau_REF_Mesures[],3,FALSE)="OUI",F88+(F88*G88),0)</f>
        <v>8.0645162000000006E-2</v>
      </c>
      <c r="I88" s="79">
        <f>VLOOKUP(D88,Tableau_REF_Mesures[],8,FALSE)*H88/IF(VLOOKUP(D88,Tableau_REF_Mesures[],6,FALSE)&gt;0,VLOOKUP(D88,Tableau_REF_Mesures[],6,FALSE),1)</f>
        <v>5151.545333000171</v>
      </c>
    </row>
    <row r="89" spans="1:9" x14ac:dyDescent="0.2">
      <c r="A89" s="65" t="s">
        <v>70</v>
      </c>
      <c r="B89" s="39" t="str">
        <f>VLOOKUP(A89,Tableau_REF_Risques[],2,FALSE)</f>
        <v>Indisponibilité des ressources suite à une attaque par DDoS</v>
      </c>
      <c r="C89" s="39">
        <f>_xlfn.MAXIFS(Tableau_REF_SMSR[Vrais Retenue],Tableau_REF_SMSR['#SM],Tableau_REF_SMMS[[#This Row],['#SM]])</f>
        <v>4</v>
      </c>
      <c r="D89" s="66" t="s">
        <v>241</v>
      </c>
      <c r="E89" s="39" t="str">
        <f>VLOOKUP(D89,Tableau_REF_Mesures[],2,FALSE)</f>
        <v>Solution de pare-feu (élémentaire)</v>
      </c>
      <c r="F89" s="143">
        <v>0.02</v>
      </c>
      <c r="G89" s="143">
        <f>IFERROR(VLOOKUP(Tableau_REF_SMMS[[#This Row],['#MS]],Tableau_REC_Mesures[#All],6,FALSE),0)</f>
        <v>0</v>
      </c>
      <c r="H89" s="144">
        <f>IF(VLOOKUP(D89,Tableau_REF_Mesures[],3,FALSE)="OUI",F89+(F89*G89),0)</f>
        <v>0</v>
      </c>
      <c r="I89" s="79">
        <f>VLOOKUP(D89,Tableau_REF_Mesures[],8,FALSE)*H89/IF(VLOOKUP(D89,Tableau_REF_Mesures[],6,FALSE)&gt;0,VLOOKUP(D89,Tableau_REF_Mesures[],6,FALSE),1)</f>
        <v>0</v>
      </c>
    </row>
    <row r="90" spans="1:9" x14ac:dyDescent="0.2">
      <c r="A90" s="65" t="s">
        <v>70</v>
      </c>
      <c r="B90" s="39" t="str">
        <f>VLOOKUP(A90,Tableau_REF_Risques[],2,FALSE)</f>
        <v>Indisponibilité des ressources suite à une attaque par DDoS</v>
      </c>
      <c r="C90" s="39">
        <f>_xlfn.MAXIFS(Tableau_REF_SMSR[Vrais Retenue],Tableau_REF_SMSR['#SM],Tableau_REF_SMMS[[#This Row],['#SM]])</f>
        <v>4</v>
      </c>
      <c r="D90" s="66" t="s">
        <v>243</v>
      </c>
      <c r="E90" s="39" t="str">
        <f>VLOOKUP(D90,Tableau_REF_Mesures[],2,FALSE)</f>
        <v>Solution de pare-feu (intermédiaire)</v>
      </c>
      <c r="F90" s="143">
        <v>0.06</v>
      </c>
      <c r="G90" s="143">
        <f>IFERROR(VLOOKUP(Tableau_REF_SMMS[[#This Row],['#MS]],Tableau_REC_Mesures[#All],6,FALSE),0)</f>
        <v>0</v>
      </c>
      <c r="H90" s="144">
        <f>IF(VLOOKUP(D90,Tableau_REF_Mesures[],3,FALSE)="OUI",F90+(F90*G90),0)</f>
        <v>0</v>
      </c>
      <c r="I90" s="79">
        <f>VLOOKUP(D90,Tableau_REF_Mesures[],8,FALSE)*H90/IF(VLOOKUP(D90,Tableau_REF_Mesures[],6,FALSE)&gt;0,VLOOKUP(D90,Tableau_REF_Mesures[],6,FALSE),1)</f>
        <v>0</v>
      </c>
    </row>
    <row r="91" spans="1:9" x14ac:dyDescent="0.2">
      <c r="A91" s="65" t="s">
        <v>70</v>
      </c>
      <c r="B91" s="39" t="str">
        <f>VLOOKUP(A91,Tableau_REF_Risques[],2,FALSE)</f>
        <v>Indisponibilité des ressources suite à une attaque par DDoS</v>
      </c>
      <c r="C91" s="39">
        <f>_xlfn.MAXIFS(Tableau_REF_SMSR[Vrais Retenue],Tableau_REF_SMSR['#SM],Tableau_REF_SMMS[[#This Row],['#SM]])</f>
        <v>4</v>
      </c>
      <c r="D91" s="66" t="s">
        <v>245</v>
      </c>
      <c r="E91" s="39" t="str">
        <f>VLOOKUP(D91,Tableau_REF_Mesures[],2,FALSE)</f>
        <v>Solution de pare-feu (avancé)</v>
      </c>
      <c r="F91" s="143">
        <v>0.14000000000000001</v>
      </c>
      <c r="G91" s="143">
        <f>IFERROR(VLOOKUP(Tableau_REF_SMMS[[#This Row],['#MS]],Tableau_REC_Mesures[#All],6,FALSE),0)</f>
        <v>0</v>
      </c>
      <c r="H91" s="144">
        <f>IF(VLOOKUP(D91,Tableau_REF_Mesures[],3,FALSE)="OUI",F91+(F91*G91),0)</f>
        <v>0.14000000000000001</v>
      </c>
      <c r="I91" s="79">
        <f>VLOOKUP(D91,Tableau_REF_Mesures[],8,FALSE)*H91/IF(VLOOKUP(D91,Tableau_REF_Mesures[],6,FALSE)&gt;0,VLOOKUP(D91,Tableau_REF_Mesures[],6,FALSE),1)</f>
        <v>1829.3274770330145</v>
      </c>
    </row>
    <row r="92" spans="1:9" x14ac:dyDescent="0.2">
      <c r="A92" s="65" t="s">
        <v>70</v>
      </c>
      <c r="B92" s="39" t="str">
        <f>VLOOKUP(A92,Tableau_REF_Risques[],2,FALSE)</f>
        <v>Indisponibilité des ressources suite à une attaque par DDoS</v>
      </c>
      <c r="C92" s="39">
        <f>_xlfn.MAXIFS(Tableau_REF_SMSR[Vrais Retenue],Tableau_REF_SMSR['#SM],Tableau_REF_SMMS[[#This Row],['#SM]])</f>
        <v>4</v>
      </c>
      <c r="D92" s="66" t="s">
        <v>258</v>
      </c>
      <c r="E92" s="39" t="str">
        <f>VLOOKUP(D92,Tableau_REF_Mesures[],2,FALSE)</f>
        <v>Solution Reverse Proxy / Loadbalancer intermédiaire</v>
      </c>
      <c r="F92" s="143">
        <v>0.04</v>
      </c>
      <c r="G92" s="143">
        <f>IFERROR(VLOOKUP(Tableau_REF_SMMS[[#This Row],['#MS]],Tableau_REC_Mesures[#All],6,FALSE),0)</f>
        <v>0.7</v>
      </c>
      <c r="H92" s="144">
        <f>IF(VLOOKUP(D92,Tableau_REF_Mesures[],3,FALSE)="OUI",F92+(F92*G92),0)</f>
        <v>6.8000000000000005E-2</v>
      </c>
      <c r="I92" s="79">
        <f>VLOOKUP(D92,Tableau_REF_Mesures[],8,FALSE)*H92/IF(VLOOKUP(D92,Tableau_REF_Mesures[],6,FALSE)&gt;0,VLOOKUP(D92,Tableau_REF_Mesures[],6,FALSE),1)</f>
        <v>6886.769381266814</v>
      </c>
    </row>
    <row r="93" spans="1:9" x14ac:dyDescent="0.2">
      <c r="A93" s="65" t="s">
        <v>70</v>
      </c>
      <c r="B93" s="39" t="str">
        <f>VLOOKUP(A93,Tableau_REF_Risques[],2,FALSE)</f>
        <v>Indisponibilité des ressources suite à une attaque par DDoS</v>
      </c>
      <c r="C93" s="39">
        <f>_xlfn.MAXIFS(Tableau_REF_SMSR[Vrais Retenue],Tableau_REF_SMSR['#SM],Tableau_REF_SMMS[[#This Row],['#SM]])</f>
        <v>4</v>
      </c>
      <c r="D93" s="66" t="s">
        <v>260</v>
      </c>
      <c r="E93" s="39" t="str">
        <f>VLOOKUP(D93,Tableau_REF_Mesures[],2,FALSE)</f>
        <v>Solution Reverse Proxy / Loadbalancer avancée</v>
      </c>
      <c r="F93" s="143">
        <v>0.12</v>
      </c>
      <c r="G93" s="143">
        <f>IFERROR(VLOOKUP(Tableau_REF_SMMS[[#This Row],['#MS]],Tableau_REC_Mesures[#All],6,FALSE),0)</f>
        <v>0.3</v>
      </c>
      <c r="H93" s="144">
        <f>IF(VLOOKUP(D93,Tableau_REF_Mesures[],3,FALSE)="OUI",F93+(F93*G93),0)</f>
        <v>0</v>
      </c>
      <c r="I93" s="79">
        <f>VLOOKUP(D93,Tableau_REF_Mesures[],8,FALSE)*H93/IF(VLOOKUP(D93,Tableau_REF_Mesures[],6,FALSE)&gt;0,VLOOKUP(D93,Tableau_REF_Mesures[],6,FALSE),1)</f>
        <v>0</v>
      </c>
    </row>
    <row r="94" spans="1:9" x14ac:dyDescent="0.2">
      <c r="A94" s="65" t="s">
        <v>70</v>
      </c>
      <c r="B94" s="39" t="str">
        <f>VLOOKUP(A94,Tableau_REF_Risques[],2,FALSE)</f>
        <v>Indisponibilité des ressources suite à une attaque par DDoS</v>
      </c>
      <c r="C94" s="39">
        <f>_xlfn.MAXIFS(Tableau_REF_SMSR[Vrais Retenue],Tableau_REF_SMSR['#SM],Tableau_REF_SMMS[[#This Row],['#SM]])</f>
        <v>4</v>
      </c>
      <c r="D94" s="66" t="s">
        <v>262</v>
      </c>
      <c r="E94" s="39" t="str">
        <f>VLOOKUP(D94,Tableau_REF_Mesures[],2,FALSE)</f>
        <v>Sondes spécialisées IDPS (Détection &amp; Prévention d'intrusion)</v>
      </c>
      <c r="F94" s="143">
        <v>0.04</v>
      </c>
      <c r="G94" s="143">
        <f>IFERROR(VLOOKUP(Tableau_REF_SMMS[[#This Row],['#MS]],Tableau_REC_Mesures[#All],6,FALSE),0)</f>
        <v>0.8</v>
      </c>
      <c r="H94" s="144">
        <f>IF(VLOOKUP(D94,Tableau_REF_Mesures[],3,FALSE)="OUI",F94+(F94*G94),0)</f>
        <v>7.2000000000000008E-2</v>
      </c>
      <c r="I94" s="79">
        <f>VLOOKUP(D94,Tableau_REF_Mesures[],8,FALSE)*H94/IF(VLOOKUP(D94,Tableau_REF_Mesures[],6,FALSE)&gt;0,VLOOKUP(D94,Tableau_REF_Mesures[],6,FALSE),1)</f>
        <v>1679.3497806984465</v>
      </c>
    </row>
    <row r="95" spans="1:9" x14ac:dyDescent="0.2">
      <c r="A95" s="65" t="s">
        <v>70</v>
      </c>
      <c r="B95" s="39" t="str">
        <f>VLOOKUP(A95,Tableau_REF_Risques[],2,FALSE)</f>
        <v>Indisponibilité des ressources suite à une attaque par DDoS</v>
      </c>
      <c r="C95" s="39">
        <f>_xlfn.MAXIFS(Tableau_REF_SMSR[Vrais Retenue],Tableau_REF_SMSR['#SM],Tableau_REF_SMMS[[#This Row],['#SM]])</f>
        <v>4</v>
      </c>
      <c r="D95" s="66" t="s">
        <v>278</v>
      </c>
      <c r="E95" s="39" t="str">
        <f>VLOOKUP(D95,Tableau_REF_Mesures[],2,FALSE)</f>
        <v>Solution de collecte et de traitement des événements (SIEM)</v>
      </c>
      <c r="F95" s="143">
        <v>0.16</v>
      </c>
      <c r="G95" s="143">
        <f>IFERROR(VLOOKUP(Tableau_REF_SMMS[[#This Row],['#MS]],Tableau_REC_Mesures[#All],6,FALSE),0)</f>
        <v>0</v>
      </c>
      <c r="H95" s="144">
        <f>IF(VLOOKUP(D95,Tableau_REF_Mesures[],3,FALSE)="OUI",F95+(F95*G95),0)</f>
        <v>0.16</v>
      </c>
      <c r="I95" s="79">
        <f>VLOOKUP(D95,Tableau_REF_Mesures[],8,FALSE)*H95/IF(VLOOKUP(D95,Tableau_REF_Mesures[],6,FALSE)&gt;0,VLOOKUP(D95,Tableau_REF_Mesures[],6,FALSE),1)</f>
        <v>632.92022093100536</v>
      </c>
    </row>
    <row r="96" spans="1:9" x14ac:dyDescent="0.2">
      <c r="A96" s="65" t="s">
        <v>70</v>
      </c>
      <c r="B96" s="39" t="str">
        <f>VLOOKUP(A96,Tableau_REF_Risques[],2,FALSE)</f>
        <v>Indisponibilité des ressources suite à une attaque par DDoS</v>
      </c>
      <c r="C96" s="39">
        <f>_xlfn.MAXIFS(Tableau_REF_SMSR[Vrais Retenue],Tableau_REF_SMSR['#SM],Tableau_REF_SMMS[[#This Row],['#SM]])</f>
        <v>4</v>
      </c>
      <c r="D96" s="66" t="s">
        <v>282</v>
      </c>
      <c r="E96" s="39" t="str">
        <f>VLOOKUP(D96,Tableau_REF_Mesures[],2,FALSE)</f>
        <v>Service de supervision de sécurité (SOC)</v>
      </c>
      <c r="F96" s="143">
        <v>0.06</v>
      </c>
      <c r="G96" s="143">
        <f>IFERROR(VLOOKUP(Tableau_REF_SMMS[[#This Row],['#MS]],Tableau_REC_Mesures[#All],6,FALSE),0)</f>
        <v>0</v>
      </c>
      <c r="H96" s="144">
        <f>IF(VLOOKUP(D96,Tableau_REF_Mesures[],3,FALSE)="OUI",F96+(F96*G96),0)</f>
        <v>0.06</v>
      </c>
      <c r="I96" s="79">
        <f>VLOOKUP(D96,Tableau_REF_Mesures[],8,FALSE)*H96/IF(VLOOKUP(D96,Tableau_REF_Mesures[],6,FALSE)&gt;0,VLOOKUP(D96,Tableau_REF_Mesures[],6,FALSE),1)</f>
        <v>1891.1632975627388</v>
      </c>
    </row>
    <row r="97" spans="1:13" x14ac:dyDescent="0.2">
      <c r="A97" s="65" t="s">
        <v>70</v>
      </c>
      <c r="B97" s="39" t="str">
        <f>VLOOKUP(A97,Tableau_REF_Risques[],2,FALSE)</f>
        <v>Indisponibilité des ressources suite à une attaque par DDoS</v>
      </c>
      <c r="C97" s="39">
        <f>_xlfn.MAXIFS(Tableau_REF_SMSR[Vrais Retenue],Tableau_REF_SMSR['#SM],Tableau_REF_SMMS[[#This Row],['#SM]])</f>
        <v>4</v>
      </c>
      <c r="D97" s="66" t="s">
        <v>283</v>
      </c>
      <c r="E97" s="39" t="str">
        <f>VLOOKUP(D97,Tableau_REF_Mesures[],2,FALSE)</f>
        <v>Service de gestion des solutions de sécurité</v>
      </c>
      <c r="F97" s="143">
        <v>0.16</v>
      </c>
      <c r="G97" s="143">
        <f>IFERROR(VLOOKUP(Tableau_REF_SMMS[[#This Row],['#MS]],Tableau_REC_Mesures[#All],6,FALSE),0)</f>
        <v>0</v>
      </c>
      <c r="H97" s="144">
        <f>IF(VLOOKUP(D97,Tableau_REF_Mesures[],3,FALSE)="OUI",F97+(F97*G97),0)</f>
        <v>0.16</v>
      </c>
      <c r="I97" s="79"/>
    </row>
    <row r="98" spans="1:13" x14ac:dyDescent="0.2">
      <c r="A98" s="65" t="s">
        <v>70</v>
      </c>
      <c r="B98" s="39" t="str">
        <f>VLOOKUP(A98,Tableau_REF_Risques[],2,FALSE)</f>
        <v>Indisponibilité des ressources suite à une attaque par DDoS</v>
      </c>
      <c r="C98" s="39">
        <f>_xlfn.MAXIFS(Tableau_REF_SMSR[Vrais Retenue],Tableau_REF_SMSR['#SM],Tableau_REF_SMMS[[#This Row],['#SM]])</f>
        <v>4</v>
      </c>
      <c r="D98" s="66" t="s">
        <v>284</v>
      </c>
      <c r="E98" s="39" t="str">
        <f>VLOOKUP(D98,Tableau_REF_Mesures[],2,FALSE)</f>
        <v>Service de Veille et de réponse à incidents (CERT/CSIRT)</v>
      </c>
      <c r="F98" s="143">
        <v>0.1</v>
      </c>
      <c r="G98" s="143">
        <f>IFERROR(VLOOKUP(Tableau_REF_SMMS[[#This Row],['#MS]],Tableau_REC_Mesures[#All],6,FALSE),0)</f>
        <v>0</v>
      </c>
      <c r="H98" s="144">
        <f>IF(VLOOKUP(D98,Tableau_REF_Mesures[],3,FALSE)="OUI",F98+(F98*G98),0)</f>
        <v>0.1</v>
      </c>
      <c r="I98" s="79">
        <f>VLOOKUP(D98,Tableau_REF_Mesures[],8,FALSE)*H98/IF(VLOOKUP(D98,Tableau_REF_Mesures[],6,FALSE)&gt;0,VLOOKUP(D98,Tableau_REF_Mesures[],6,FALSE),1)</f>
        <v>6387.9161567065494</v>
      </c>
    </row>
    <row r="99" spans="1:13" x14ac:dyDescent="0.2">
      <c r="A99" s="65" t="s">
        <v>70</v>
      </c>
      <c r="B99" s="39" t="str">
        <f>VLOOKUP(A99,Tableau_REF_Risques[],2,FALSE)</f>
        <v>Indisponibilité des ressources suite à une attaque par DDoS</v>
      </c>
      <c r="C99" s="39">
        <f>_xlfn.MAXIFS(Tableau_REF_SMSR[Vrais Retenue],Tableau_REF_SMSR['#SM],Tableau_REF_SMMS[[#This Row],['#SM]])</f>
        <v>4</v>
      </c>
      <c r="D99" s="66" t="s">
        <v>286</v>
      </c>
      <c r="E99" s="39" t="str">
        <f>VLOOKUP(D99,Tableau_REF_Mesures[],2,FALSE)</f>
        <v>Service d'audit SSI</v>
      </c>
      <c r="F99" s="143">
        <v>0.06</v>
      </c>
      <c r="G99" s="143">
        <f>IFERROR(VLOOKUP(Tableau_REF_SMMS[[#This Row],['#MS]],Tableau_REC_Mesures[#All],6,FALSE),0)</f>
        <v>0</v>
      </c>
      <c r="H99" s="144">
        <f>IF(VLOOKUP(D99,Tableau_REF_Mesures[],3,FALSE)="OUI",F99+(F99*G99),0)</f>
        <v>0.06</v>
      </c>
      <c r="I99" s="79">
        <f>VLOOKUP(D99,Tableau_REF_Mesures[],8,FALSE)*H99/IF(VLOOKUP(D99,Tableau_REF_Mesures[],6,FALSE)&gt;0,VLOOKUP(D99,Tableau_REF_Mesures[],6,FALSE),1)</f>
        <v>3245.5958947742133</v>
      </c>
    </row>
    <row r="100" spans="1:13" x14ac:dyDescent="0.2">
      <c r="A100" s="65" t="s">
        <v>70</v>
      </c>
      <c r="B100" s="39" t="str">
        <f>VLOOKUP(A100,Tableau_REF_Risques[],2,FALSE)</f>
        <v>Indisponibilité des ressources suite à une attaque par DDoS</v>
      </c>
      <c r="C100" s="39">
        <f>_xlfn.MAXIFS(Tableau_REF_SMSR[Vrais Retenue],Tableau_REF_SMSR['#SM],Tableau_REF_SMMS[[#This Row],['#SM]])</f>
        <v>4</v>
      </c>
      <c r="D100" s="66" t="s">
        <v>289</v>
      </c>
      <c r="E100" s="39" t="str">
        <f>VLOOKUP(D100,Tableau_REF_Mesures[],2,FALSE)</f>
        <v>Service de gestion de la continuité</v>
      </c>
      <c r="F100" s="143">
        <v>0.16</v>
      </c>
      <c r="G100" s="143">
        <f>IFERROR(VLOOKUP(Tableau_REF_SMMS[[#This Row],['#MS]],Tableau_REC_Mesures[#All],6,FALSE),0)</f>
        <v>0</v>
      </c>
      <c r="H100" s="144">
        <f>IF(VLOOKUP(D100,Tableau_REF_Mesures[],3,FALSE)="OUI",F100+(F100*G100),0)</f>
        <v>0.16</v>
      </c>
      <c r="I100" s="79">
        <f>VLOOKUP(D100,Tableau_REF_Mesures[],8,FALSE)*H100/IF(VLOOKUP(D100,Tableau_REF_Mesures[],6,FALSE)&gt;0,VLOOKUP(D100,Tableau_REF_Mesures[],6,FALSE),1)</f>
        <v>18908.82514160424</v>
      </c>
    </row>
    <row r="101" spans="1:13" x14ac:dyDescent="0.2">
      <c r="A101" s="65" t="s">
        <v>69</v>
      </c>
      <c r="B101" s="39" t="str">
        <f>VLOOKUP(A101,Tableau_REF_Risques[],2,FALSE)</f>
        <v>Chiffrement et/ou suppression de données par malveillance</v>
      </c>
      <c r="C101" s="39">
        <f>_xlfn.MAXIFS(Tableau_REF_SMSR[Vrais Retenue],Tableau_REF_SMSR['#SM],Tableau_REF_SMMS[[#This Row],['#SM]])</f>
        <v>4</v>
      </c>
      <c r="D101" s="66" t="s">
        <v>278</v>
      </c>
      <c r="E101" s="39" t="str">
        <f>VLOOKUP(D101,Tableau_REF_Mesures[],2,FALSE)</f>
        <v>Solution de collecte et de traitement des événements (SIEM)</v>
      </c>
      <c r="F101" s="143">
        <v>7.1428571428571438E-2</v>
      </c>
      <c r="G101" s="143">
        <f>IFERROR(VLOOKUP(Tableau_REF_SMMS[[#This Row],['#MS]],Tableau_REC_Mesures[#All],6,FALSE),0)</f>
        <v>0</v>
      </c>
      <c r="H101" s="144">
        <f>IF(VLOOKUP(D101,Tableau_REF_Mesures[],3,FALSE)="OUI",F101+(F101*G101),0)</f>
        <v>7.1428571428571438E-2</v>
      </c>
      <c r="I101" s="79">
        <f>VLOOKUP(D101,Tableau_REF_Mesures[],8,FALSE)*H101/IF(VLOOKUP(D101,Tableau_REF_Mesures[],6,FALSE)&gt;0,VLOOKUP(D101,Tableau_REF_Mesures[],6,FALSE),1)</f>
        <v>282.55367005848456</v>
      </c>
    </row>
    <row r="102" spans="1:13" x14ac:dyDescent="0.2">
      <c r="A102" s="65" t="s">
        <v>69</v>
      </c>
      <c r="B102" s="39" t="str">
        <f>VLOOKUP(A102,Tableau_REF_Risques[],2,FALSE)</f>
        <v>Chiffrement et/ou suppression de données par malveillance</v>
      </c>
      <c r="C102" s="39">
        <f>_xlfn.MAXIFS(Tableau_REF_SMSR[Vrais Retenue],Tableau_REF_SMSR['#SM],Tableau_REF_SMMS[[#This Row],['#SM]])</f>
        <v>4</v>
      </c>
      <c r="D102" s="66" t="s">
        <v>281</v>
      </c>
      <c r="E102" s="39" t="str">
        <f>VLOOKUP(D102,Tableau_REF_Mesures[],2,FALSE)</f>
        <v>Solution de gestion des sauvegardes</v>
      </c>
      <c r="F102" s="143">
        <v>0.35714285714285715</v>
      </c>
      <c r="G102" s="143">
        <f>IFERROR(VLOOKUP(Tableau_REF_SMMS[[#This Row],['#MS]],Tableau_REC_Mesures[#All],6,FALSE),0)</f>
        <v>0</v>
      </c>
      <c r="H102" s="144">
        <f>IF(VLOOKUP(D102,Tableau_REF_Mesures[],3,FALSE)="OUI",F102+(F102*G102),0)</f>
        <v>0.35714285714285715</v>
      </c>
      <c r="I102" s="79">
        <f>VLOOKUP(D102,Tableau_REF_Mesures[],8,FALSE)*H102/IF(VLOOKUP(D102,Tableau_REF_Mesures[],6,FALSE)&gt;0,VLOOKUP(D102,Tableau_REF_Mesures[],6,FALSE),1)</f>
        <v>48507.646768623585</v>
      </c>
    </row>
    <row r="103" spans="1:13" x14ac:dyDescent="0.2">
      <c r="A103" s="65" t="s">
        <v>69</v>
      </c>
      <c r="B103" s="39" t="str">
        <f>VLOOKUP(A103,Tableau_REF_Risques[],2,FALSE)</f>
        <v>Chiffrement et/ou suppression de données par malveillance</v>
      </c>
      <c r="C103" s="39">
        <f>_xlfn.MAXIFS(Tableau_REF_SMSR[Vrais Retenue],Tableau_REF_SMSR['#SM],Tableau_REF_SMMS[[#This Row],['#SM]])</f>
        <v>4</v>
      </c>
      <c r="D103" s="66" t="s">
        <v>282</v>
      </c>
      <c r="E103" s="39" t="str">
        <f>VLOOKUP(D103,Tableau_REF_Mesures[],2,FALSE)</f>
        <v>Service de supervision de sécurité (SOC)</v>
      </c>
      <c r="F103" s="143">
        <v>0.10714285714285715</v>
      </c>
      <c r="G103" s="143">
        <f>IFERROR(VLOOKUP(Tableau_REF_SMMS[[#This Row],['#MS]],Tableau_REC_Mesures[#All],6,FALSE),0)</f>
        <v>0</v>
      </c>
      <c r="H103" s="144">
        <f>IF(VLOOKUP(D103,Tableau_REF_Mesures[],3,FALSE)="OUI",F103+(F103*G103),0)</f>
        <v>0.10714285714285715</v>
      </c>
      <c r="I103" s="79">
        <f>VLOOKUP(D103,Tableau_REF_Mesures[],8,FALSE)*H103/IF(VLOOKUP(D103,Tableau_REF_Mesures[],6,FALSE)&gt;0,VLOOKUP(D103,Tableau_REF_Mesures[],6,FALSE),1)</f>
        <v>3377.0773170763196</v>
      </c>
    </row>
    <row r="104" spans="1:13" x14ac:dyDescent="0.2">
      <c r="A104" s="65" t="s">
        <v>69</v>
      </c>
      <c r="B104" s="39" t="str">
        <f>VLOOKUP(A104,Tableau_REF_Risques[],2,FALSE)</f>
        <v>Chiffrement et/ou suppression de données par malveillance</v>
      </c>
      <c r="C104" s="39">
        <f>_xlfn.MAXIFS(Tableau_REF_SMSR[Vrais Retenue],Tableau_REF_SMSR['#SM],Tableau_REF_SMMS[[#This Row],['#SM]])</f>
        <v>4</v>
      </c>
      <c r="D104" s="66" t="s">
        <v>283</v>
      </c>
      <c r="E104" s="39" t="str">
        <f>VLOOKUP(D104,Tableau_REF_Mesures[],2,FALSE)</f>
        <v>Service de gestion des solutions de sécurité</v>
      </c>
      <c r="F104" s="143">
        <v>0.10714285714285715</v>
      </c>
      <c r="G104" s="143">
        <f>IFERROR(VLOOKUP(Tableau_REF_SMMS[[#This Row],['#MS]],Tableau_REC_Mesures[#All],6,FALSE),0)</f>
        <v>0</v>
      </c>
      <c r="H104" s="144">
        <f>IF(VLOOKUP(D104,Tableau_REF_Mesures[],3,FALSE)="OUI",F104+(F104*G104),0)</f>
        <v>0.10714285714285715</v>
      </c>
      <c r="I104" s="79"/>
    </row>
    <row r="105" spans="1:13" x14ac:dyDescent="0.2">
      <c r="A105" s="65" t="s">
        <v>69</v>
      </c>
      <c r="B105" s="39" t="str">
        <f>VLOOKUP(A105,Tableau_REF_Risques[],2,FALSE)</f>
        <v>Chiffrement et/ou suppression de données par malveillance</v>
      </c>
      <c r="C105" s="39">
        <f>_xlfn.MAXIFS(Tableau_REF_SMSR[Vrais Retenue],Tableau_REF_SMSR['#SM],Tableau_REF_SMMS[[#This Row],['#SM]])</f>
        <v>4</v>
      </c>
      <c r="D105" s="66" t="s">
        <v>284</v>
      </c>
      <c r="E105" s="39" t="str">
        <f>VLOOKUP(D105,Tableau_REF_Mesures[],2,FALSE)</f>
        <v>Service de Veille et de réponse à incidents (CERT/CSIRT)</v>
      </c>
      <c r="F105" s="143">
        <v>0.17857142857142858</v>
      </c>
      <c r="G105" s="143">
        <f>IFERROR(VLOOKUP(Tableau_REF_SMMS[[#This Row],['#MS]],Tableau_REC_Mesures[#All],6,FALSE),0)</f>
        <v>0</v>
      </c>
      <c r="H105" s="144">
        <f>IF(VLOOKUP(D105,Tableau_REF_Mesures[],3,FALSE)="OUI",F105+(F105*G105),0)</f>
        <v>0.17857142857142858</v>
      </c>
      <c r="I105" s="79">
        <f>VLOOKUP(D105,Tableau_REF_Mesures[],8,FALSE)*H105/IF(VLOOKUP(D105,Tableau_REF_Mesures[],6,FALSE)&gt;0,VLOOKUP(D105,Tableau_REF_Mesures[],6,FALSE),1)</f>
        <v>11406.99313697598</v>
      </c>
    </row>
    <row r="106" spans="1:13" x14ac:dyDescent="0.2">
      <c r="A106" s="65" t="s">
        <v>69</v>
      </c>
      <c r="B106" s="39" t="str">
        <f>VLOOKUP(A106,Tableau_REF_Risques[],2,FALSE)</f>
        <v>Chiffrement et/ou suppression de données par malveillance</v>
      </c>
      <c r="C106" s="39">
        <f>_xlfn.MAXIFS(Tableau_REF_SMSR[Vrais Retenue],Tableau_REF_SMSR['#SM],Tableau_REF_SMMS[[#This Row],['#SM]])</f>
        <v>4</v>
      </c>
      <c r="D106" s="66" t="s">
        <v>286</v>
      </c>
      <c r="E106" s="39" t="str">
        <f>VLOOKUP(D106,Tableau_REF_Mesures[],2,FALSE)</f>
        <v>Service d'audit SSI</v>
      </c>
      <c r="F106" s="143">
        <v>0.10714285714285715</v>
      </c>
      <c r="G106" s="143">
        <f>IFERROR(VLOOKUP(Tableau_REF_SMMS[[#This Row],['#MS]],Tableau_REC_Mesures[#All],6,FALSE),0)</f>
        <v>0</v>
      </c>
      <c r="H106" s="144">
        <f>IF(VLOOKUP(D106,Tableau_REF_Mesures[],3,FALSE)="OUI",F106+(F106*G106),0)</f>
        <v>0.10714285714285715</v>
      </c>
      <c r="I106" s="79">
        <f>VLOOKUP(D106,Tableau_REF_Mesures[],8,FALSE)*H106/IF(VLOOKUP(D106,Tableau_REF_Mesures[],6,FALSE)&gt;0,VLOOKUP(D106,Tableau_REF_Mesures[],6,FALSE),1)</f>
        <v>5795.7069549539528</v>
      </c>
    </row>
    <row r="107" spans="1:13" x14ac:dyDescent="0.2">
      <c r="A107" s="65" t="s">
        <v>69</v>
      </c>
      <c r="B107" s="39" t="str">
        <f>VLOOKUP(A107,Tableau_REF_Risques[],2,FALSE)</f>
        <v>Chiffrement et/ou suppression de données par malveillance</v>
      </c>
      <c r="C107" s="39">
        <f>_xlfn.MAXIFS(Tableau_REF_SMSR[Vrais Retenue],Tableau_REF_SMSR['#SM],Tableau_REF_SMMS[[#This Row],['#SM]])</f>
        <v>4</v>
      </c>
      <c r="D107" s="66" t="s">
        <v>289</v>
      </c>
      <c r="E107" s="39" t="str">
        <f>VLOOKUP(D107,Tableau_REF_Mesures[],2,FALSE)</f>
        <v>Service de gestion de la continuité</v>
      </c>
      <c r="F107" s="143">
        <v>7.1428571428571438E-2</v>
      </c>
      <c r="G107" s="143">
        <f>IFERROR(VLOOKUP(Tableau_REF_SMMS[[#This Row],['#MS]],Tableau_REC_Mesures[#All],6,FALSE),0)</f>
        <v>0</v>
      </c>
      <c r="H107" s="144">
        <f>IF(VLOOKUP(D107,Tableau_REF_Mesures[],3,FALSE)="OUI",F107+(F107*G107),0)</f>
        <v>7.1428571428571438E-2</v>
      </c>
      <c r="I107" s="79">
        <f>VLOOKUP(D107,Tableau_REF_Mesures[],8,FALSE)*H107/IF(VLOOKUP(D107,Tableau_REF_Mesures[],6,FALSE)&gt;0,VLOOKUP(D107,Tableau_REF_Mesures[],6,FALSE),1)</f>
        <v>8441.439795359036</v>
      </c>
    </row>
    <row r="108" spans="1:13" x14ac:dyDescent="0.2">
      <c r="A108" s="65" t="s">
        <v>68</v>
      </c>
      <c r="B108" s="39" t="str">
        <f>VLOOKUP(A108,Tableau_REF_Risques[],2,FALSE)</f>
        <v>Ouverture d'un canal de commande et d'exfiltration sur le réseau</v>
      </c>
      <c r="C108" s="39">
        <f>_xlfn.MAXIFS(Tableau_REF_SMSR[Vrais Retenue],Tableau_REF_SMSR['#SM],Tableau_REF_SMMS[[#This Row],['#SM]])</f>
        <v>4</v>
      </c>
      <c r="D108" s="66" t="s">
        <v>241</v>
      </c>
      <c r="E108" s="39" t="str">
        <f>VLOOKUP(D108,Tableau_REF_Mesures[],2,FALSE)</f>
        <v>Solution de pare-feu (élémentaire)</v>
      </c>
      <c r="F108" s="143">
        <v>4.2553191489361701E-2</v>
      </c>
      <c r="G108" s="143">
        <f>IFERROR(VLOOKUP(Tableau_REF_SMMS[[#This Row],['#MS]],Tableau_REC_Mesures[#All],6,FALSE),0)</f>
        <v>0</v>
      </c>
      <c r="H108" s="144">
        <f>IF(VLOOKUP(D108,Tableau_REF_Mesures[],3,FALSE)="OUI",F108+(F108*G108),0)</f>
        <v>0</v>
      </c>
      <c r="I108" s="79">
        <f>VLOOKUP(D108,Tableau_REF_Mesures[],8,FALSE)*H108/IF(VLOOKUP(D108,Tableau_REF_Mesures[],6,FALSE)&gt;0,VLOOKUP(D108,Tableau_REF_Mesures[],6,FALSE),1)</f>
        <v>0</v>
      </c>
      <c r="K108" s="66"/>
    </row>
    <row r="109" spans="1:13" x14ac:dyDescent="0.2">
      <c r="A109" s="65" t="s">
        <v>68</v>
      </c>
      <c r="B109" s="39" t="str">
        <f>VLOOKUP(A109,Tableau_REF_Risques[],2,FALSE)</f>
        <v>Ouverture d'un canal de commande et d'exfiltration sur le réseau</v>
      </c>
      <c r="C109" s="39">
        <f>_xlfn.MAXIFS(Tableau_REF_SMSR[Vrais Retenue],Tableau_REF_SMSR['#SM],Tableau_REF_SMMS[[#This Row],['#SM]])</f>
        <v>4</v>
      </c>
      <c r="D109" s="66" t="s">
        <v>243</v>
      </c>
      <c r="E109" s="39" t="str">
        <f>VLOOKUP(D109,Tableau_REF_Mesures[],2,FALSE)</f>
        <v>Solution de pare-feu (intermédiaire)</v>
      </c>
      <c r="F109" s="143">
        <v>0.1702127659574468</v>
      </c>
      <c r="G109" s="143">
        <f>IFERROR(VLOOKUP(Tableau_REF_SMMS[[#This Row],['#MS]],Tableau_REC_Mesures[#All],6,FALSE),0)</f>
        <v>0</v>
      </c>
      <c r="H109" s="144">
        <f>IF(VLOOKUP(D109,Tableau_REF_Mesures[],3,FALSE)="OUI",F109+(F109*G109),0)</f>
        <v>0</v>
      </c>
      <c r="I109" s="79">
        <f>VLOOKUP(D109,Tableau_REF_Mesures[],8,FALSE)*H109/IF(VLOOKUP(D109,Tableau_REF_Mesures[],6,FALSE)&gt;0,VLOOKUP(D109,Tableau_REF_Mesures[],6,FALSE),1)</f>
        <v>0</v>
      </c>
      <c r="K109" s="66"/>
      <c r="L109" s="113"/>
      <c r="M109" s="113"/>
    </row>
    <row r="110" spans="1:13" s="113" customFormat="1" x14ac:dyDescent="0.2">
      <c r="A110" s="65" t="s">
        <v>68</v>
      </c>
      <c r="B110" s="65" t="str">
        <f>VLOOKUP(A110,Tableau_REF_Risques[],2,FALSE)</f>
        <v>Ouverture d'un canal de commande et d'exfiltration sur le réseau</v>
      </c>
      <c r="C110" s="146">
        <f>_xlfn.MAXIFS(Tableau_REF_SMSR[Vrais Retenue],Tableau_REF_SMSR['#SM],Tableau_REF_SMMS[[#This Row],['#SM]])</f>
        <v>4</v>
      </c>
      <c r="D110" s="147" t="s">
        <v>245</v>
      </c>
      <c r="E110" s="65" t="str">
        <f>VLOOKUP(D110,Tableau_REF_Mesures[],2,FALSE)</f>
        <v>Solution de pare-feu (avancé)</v>
      </c>
      <c r="F110" s="143">
        <v>0.1702127659574468</v>
      </c>
      <c r="G110" s="143">
        <f>IFERROR(VLOOKUP(Tableau_REF_SMMS[[#This Row],['#MS]],Tableau_REC_Mesures[#All],6,FALSE),0)</f>
        <v>0</v>
      </c>
      <c r="H110" s="77">
        <f>IF(VLOOKUP(D110,Tableau_REF_Mesures[],3,FALSE)="OUI",F110+(F110*G110),0)</f>
        <v>0.1702127659574468</v>
      </c>
      <c r="I110" s="79">
        <f>VLOOKUP(D110,Tableau_REF_Mesures[],8,FALSE)*H110/IF(VLOOKUP(D110,Tableau_REF_Mesures[],6,FALSE)&gt;0,VLOOKUP(D110,Tableau_REF_Mesures[],6,FALSE),1)</f>
        <v>2224.1063550553363</v>
      </c>
      <c r="K110" s="66"/>
    </row>
    <row r="111" spans="1:13" x14ac:dyDescent="0.2">
      <c r="A111" s="65" t="s">
        <v>68</v>
      </c>
      <c r="B111" s="39" t="str">
        <f>VLOOKUP(A111,Tableau_REF_Risques[],2,FALSE)</f>
        <v>Ouverture d'un canal de commande et d'exfiltration sur le réseau</v>
      </c>
      <c r="C111" s="39">
        <f>_xlfn.MAXIFS(Tableau_REF_SMSR[Vrais Retenue],Tableau_REF_SMSR['#SM],Tableau_REF_SMMS[[#This Row],['#SM]])</f>
        <v>4</v>
      </c>
      <c r="D111" s="66" t="s">
        <v>249</v>
      </c>
      <c r="E111" s="39" t="str">
        <f>VLOOKUP(D111,Tableau_REF_Mesures[],2,FALSE)</f>
        <v>Solution d'accès distants (VPN utilisateurs Nomades)</v>
      </c>
      <c r="F111" s="143">
        <v>4.2553191489361701E-2</v>
      </c>
      <c r="G111" s="143">
        <f>IFERROR(VLOOKUP(Tableau_REF_SMMS[[#This Row],['#MS]],Tableau_REC_Mesures[#All],6,FALSE),0)</f>
        <v>0.8</v>
      </c>
      <c r="H111" s="144">
        <f>IF(VLOOKUP(D111,Tableau_REF_Mesures[],3,FALSE)="OUI",F111+(F111*G111),0)</f>
        <v>7.6595744680851063E-2</v>
      </c>
      <c r="I111" s="79">
        <f>VLOOKUP(D111,Tableau_REF_Mesures[],8,FALSE)*H111/IF(VLOOKUP(D111,Tableau_REF_Mesures[],6,FALSE)&gt;0,VLOOKUP(D111,Tableau_REF_Mesures[],6,FALSE),1)</f>
        <v>16022.122062715536</v>
      </c>
      <c r="K111" s="66"/>
      <c r="L111" s="113"/>
      <c r="M111" s="113"/>
    </row>
    <row r="112" spans="1:13" x14ac:dyDescent="0.2">
      <c r="A112" s="65" t="s">
        <v>68</v>
      </c>
      <c r="B112" s="39" t="str">
        <f>VLOOKUP(A112,Tableau_REF_Risques[],2,FALSE)</f>
        <v>Ouverture d'un canal de commande et d'exfiltration sur le réseau</v>
      </c>
      <c r="C112" s="39">
        <f>_xlfn.MAXIFS(Tableau_REF_SMSR[Vrais Retenue],Tableau_REF_SMSR['#SM],Tableau_REF_SMMS[[#This Row],['#SM]])</f>
        <v>4</v>
      </c>
      <c r="D112" s="66" t="s">
        <v>250</v>
      </c>
      <c r="E112" s="39" t="str">
        <f>VLOOKUP(D112,Tableau_REF_Mesures[],2,FALSE)</f>
        <v>Solution Proxy / Web Gateway (élémentaire)</v>
      </c>
      <c r="F112" s="143">
        <v>4.2553191489361701E-2</v>
      </c>
      <c r="G112" s="143">
        <f>IFERROR(VLOOKUP(Tableau_REF_SMMS[[#This Row],['#MS]],Tableau_REC_Mesures[#All],6,FALSE),0)</f>
        <v>1</v>
      </c>
      <c r="H112" s="144">
        <f>IF(VLOOKUP(D112,Tableau_REF_Mesures[],3,FALSE)="OUI",F112+(F112*G112),0)</f>
        <v>0</v>
      </c>
      <c r="I112" s="79">
        <f>VLOOKUP(D112,Tableau_REF_Mesures[],8,FALSE)*H112/IF(VLOOKUP(D112,Tableau_REF_Mesures[],6,FALSE)&gt;0,VLOOKUP(D112,Tableau_REF_Mesures[],6,FALSE),1)</f>
        <v>0</v>
      </c>
      <c r="K112" s="66"/>
      <c r="L112" s="113"/>
      <c r="M112" s="113"/>
    </row>
    <row r="113" spans="1:13" x14ac:dyDescent="0.2">
      <c r="A113" s="65" t="s">
        <v>68</v>
      </c>
      <c r="B113" s="39" t="str">
        <f>VLOOKUP(A113,Tableau_REF_Risques[],2,FALSE)</f>
        <v>Ouverture d'un canal de commande et d'exfiltration sur le réseau</v>
      </c>
      <c r="C113" s="39">
        <f>_xlfn.MAXIFS(Tableau_REF_SMSR[Vrais Retenue],Tableau_REF_SMSR['#SM],Tableau_REF_SMMS[[#This Row],['#SM]])</f>
        <v>4</v>
      </c>
      <c r="D113" s="66" t="s">
        <v>252</v>
      </c>
      <c r="E113" s="39" t="str">
        <f>VLOOKUP(D113,Tableau_REF_Mesures[],2,FALSE)</f>
        <v>Solution Proxy / Web Gateway (intermédiaire)</v>
      </c>
      <c r="F113" s="143">
        <v>0.1702127659574468</v>
      </c>
      <c r="G113" s="143">
        <f>IFERROR(VLOOKUP(Tableau_REF_SMMS[[#This Row],['#MS]],Tableau_REC_Mesures[#All],6,FALSE),0)</f>
        <v>1</v>
      </c>
      <c r="H113" s="144">
        <f>IF(VLOOKUP(D113,Tableau_REF_Mesures[],3,FALSE)="OUI",F113+(F113*G113),0)</f>
        <v>0.34042553191489361</v>
      </c>
      <c r="I113" s="79">
        <f>VLOOKUP(D113,Tableau_REF_Mesures[],8,FALSE)*H113/IF(VLOOKUP(D113,Tableau_REF_Mesures[],6,FALSE)&gt;0,VLOOKUP(D113,Tableau_REF_Mesures[],6,FALSE),1)</f>
        <v>7029.8886989870352</v>
      </c>
      <c r="K113" s="66"/>
      <c r="L113" s="113"/>
      <c r="M113" s="113"/>
    </row>
    <row r="114" spans="1:13" s="113" customFormat="1" x14ac:dyDescent="0.2">
      <c r="A114" s="65" t="s">
        <v>68</v>
      </c>
      <c r="B114" s="65" t="str">
        <f>VLOOKUP(A114,Tableau_REF_Risques[],2,FALSE)</f>
        <v>Ouverture d'un canal de commande et d'exfiltration sur le réseau</v>
      </c>
      <c r="C114" s="146">
        <f>_xlfn.MAXIFS(Tableau_REF_SMSR[Vrais Retenue],Tableau_REF_SMSR['#SM],Tableau_REF_SMMS[[#This Row],['#SM]])</f>
        <v>4</v>
      </c>
      <c r="D114" s="147" t="s">
        <v>254</v>
      </c>
      <c r="E114" s="65" t="str">
        <f>VLOOKUP(D114,Tableau_REF_Mesures[],2,FALSE)</f>
        <v>Solution Proxy / Web Gateway (avancé)</v>
      </c>
      <c r="F114" s="143">
        <v>0.1702127659574468</v>
      </c>
      <c r="G114" s="143">
        <f>IFERROR(VLOOKUP(Tableau_REF_SMMS[[#This Row],['#MS]],Tableau_REC_Mesures[#All],6,FALSE),0)</f>
        <v>0.9</v>
      </c>
      <c r="H114" s="77">
        <f>IF(VLOOKUP(D114,Tableau_REF_Mesures[],3,FALSE)="OUI",F114+(F114*G114),0)</f>
        <v>0</v>
      </c>
      <c r="I114" s="79">
        <f>VLOOKUP(D114,Tableau_REF_Mesures[],8,FALSE)*H114/IF(VLOOKUP(D114,Tableau_REF_Mesures[],6,FALSE)&gt;0,VLOOKUP(D114,Tableau_REF_Mesures[],6,FALSE),1)</f>
        <v>0</v>
      </c>
      <c r="K114" s="66"/>
    </row>
    <row r="115" spans="1:13" x14ac:dyDescent="0.2">
      <c r="A115" s="65" t="s">
        <v>68</v>
      </c>
      <c r="B115" s="39" t="str">
        <f>VLOOKUP(A115,Tableau_REF_Risques[],2,FALSE)</f>
        <v>Ouverture d'un canal de commande et d'exfiltration sur le réseau</v>
      </c>
      <c r="C115" s="39">
        <f>_xlfn.MAXIFS(Tableau_REF_SMSR[Vrais Retenue],Tableau_REF_SMSR['#SM],Tableau_REF_SMMS[[#This Row],['#SM]])</f>
        <v>4</v>
      </c>
      <c r="D115" s="66" t="s">
        <v>262</v>
      </c>
      <c r="E115" s="39" t="str">
        <f>VLOOKUP(D115,Tableau_REF_Mesures[],2,FALSE)</f>
        <v>Sondes spécialisées IDPS (Détection &amp; Prévention d'intrusion)</v>
      </c>
      <c r="F115" s="143">
        <v>0.1276595744680851</v>
      </c>
      <c r="G115" s="143">
        <f>IFERROR(VLOOKUP(Tableau_REF_SMMS[[#This Row],['#MS]],Tableau_REC_Mesures[#All],6,FALSE),0)</f>
        <v>0.8</v>
      </c>
      <c r="H115" s="144">
        <f>IF(VLOOKUP(D115,Tableau_REF_Mesures[],3,FALSE)="OUI",F115+(F115*G115),0)</f>
        <v>0.22978723404255319</v>
      </c>
      <c r="I115" s="79">
        <f>VLOOKUP(D115,Tableau_REF_Mesures[],8,FALSE)*H115/IF(VLOOKUP(D115,Tableau_REF_Mesures[],6,FALSE)&gt;0,VLOOKUP(D115,Tableau_REF_Mesures[],6,FALSE),1)</f>
        <v>5359.6269596758921</v>
      </c>
      <c r="K115" s="66"/>
      <c r="L115" s="113"/>
      <c r="M115" s="113"/>
    </row>
    <row r="116" spans="1:13" x14ac:dyDescent="0.2">
      <c r="A116" s="65" t="s">
        <v>68</v>
      </c>
      <c r="B116" s="39" t="str">
        <f>VLOOKUP(A116,Tableau_REF_Risques[],2,FALSE)</f>
        <v>Ouverture d'un canal de commande et d'exfiltration sur le réseau</v>
      </c>
      <c r="C116" s="39">
        <f>_xlfn.MAXIFS(Tableau_REF_SMSR[Vrais Retenue],Tableau_REF_SMSR['#SM],Tableau_REF_SMMS[[#This Row],['#SM]])</f>
        <v>4</v>
      </c>
      <c r="D116" s="66" t="s">
        <v>272</v>
      </c>
      <c r="E116" s="39" t="str">
        <f>VLOOKUP(D116,Tableau_REF_Mesures[],2,FALSE)</f>
        <v>Solution de protection des terminaux (Antimalware basique)</v>
      </c>
      <c r="F116" s="143">
        <v>4.2553191489361701E-2</v>
      </c>
      <c r="G116" s="143">
        <f>IFERROR(VLOOKUP(Tableau_REF_SMMS[[#This Row],['#MS]],Tableau_REC_Mesures[#All],6,FALSE),0)</f>
        <v>0</v>
      </c>
      <c r="H116" s="144">
        <f>IF(VLOOKUP(D116,Tableau_REF_Mesures[],3,FALSE)="OUI",F116+(F116*G116),0)</f>
        <v>0</v>
      </c>
      <c r="I116" s="79">
        <f>VLOOKUP(D116,Tableau_REF_Mesures[],8,FALSE)*H116/IF(VLOOKUP(D116,Tableau_REF_Mesures[],6,FALSE)&gt;0,VLOOKUP(D116,Tableau_REF_Mesures[],6,FALSE),1)</f>
        <v>0</v>
      </c>
      <c r="K116" s="66"/>
      <c r="L116" s="113"/>
      <c r="M116" s="113"/>
    </row>
    <row r="117" spans="1:13" x14ac:dyDescent="0.2">
      <c r="A117" s="65" t="s">
        <v>68</v>
      </c>
      <c r="B117" s="39" t="str">
        <f>VLOOKUP(A117,Tableau_REF_Risques[],2,FALSE)</f>
        <v>Ouverture d'un canal de commande et d'exfiltration sur le réseau</v>
      </c>
      <c r="C117" s="39">
        <f>_xlfn.MAXIFS(Tableau_REF_SMSR[Vrais Retenue],Tableau_REF_SMSR['#SM],Tableau_REF_SMMS[[#This Row],['#SM]])</f>
        <v>4</v>
      </c>
      <c r="D117" s="66" t="s">
        <v>273</v>
      </c>
      <c r="E117" s="39" t="str">
        <f>VLOOKUP(D117,Tableau_REF_Mesures[],2,FALSE)</f>
        <v>Solution de protection des terminaux (EDR)</v>
      </c>
      <c r="F117" s="143">
        <v>0.1702127659574468</v>
      </c>
      <c r="G117" s="143">
        <f>IFERROR(VLOOKUP(Tableau_REF_SMMS[[#This Row],['#MS]],Tableau_REC_Mesures[#All],6,FALSE),0)</f>
        <v>0</v>
      </c>
      <c r="H117" s="144">
        <f>IF(VLOOKUP(D117,Tableau_REF_Mesures[],3,FALSE)="OUI",F117+(F117*G117),0)</f>
        <v>0.1702127659574468</v>
      </c>
      <c r="I117" s="79">
        <f>VLOOKUP(D117,Tableau_REF_Mesures[],8,FALSE)*H117/IF(VLOOKUP(D117,Tableau_REF_Mesures[],6,FALSE)&gt;0,VLOOKUP(D117,Tableau_REF_Mesures[],6,FALSE),1)</f>
        <v>2729.5897524997476</v>
      </c>
      <c r="K117" s="66"/>
      <c r="L117" s="113"/>
      <c r="M117" s="113"/>
    </row>
    <row r="118" spans="1:13" x14ac:dyDescent="0.2">
      <c r="A118" s="65" t="s">
        <v>68</v>
      </c>
      <c r="B118" s="39" t="str">
        <f>VLOOKUP(A118,Tableau_REF_Risques[],2,FALSE)</f>
        <v>Ouverture d'un canal de commande et d'exfiltration sur le réseau</v>
      </c>
      <c r="C118" s="39">
        <f>_xlfn.MAXIFS(Tableau_REF_SMSR[Vrais Retenue],Tableau_REF_SMSR['#SM],Tableau_REF_SMMS[[#This Row],['#SM]])</f>
        <v>4</v>
      </c>
      <c r="D118" s="66" t="s">
        <v>278</v>
      </c>
      <c r="E118" s="39" t="str">
        <f>VLOOKUP(D118,Tableau_REF_Mesures[],2,FALSE)</f>
        <v>Solution de collecte et de traitement des événements (SIEM)</v>
      </c>
      <c r="F118" s="143">
        <v>4.2553191489361701E-2</v>
      </c>
      <c r="G118" s="143">
        <f>IFERROR(VLOOKUP(Tableau_REF_SMMS[[#This Row],['#MS]],Tableau_REC_Mesures[#All],6,FALSE),0)</f>
        <v>0</v>
      </c>
      <c r="H118" s="144">
        <f>IF(VLOOKUP(D118,Tableau_REF_Mesures[],3,FALSE)="OUI",F118+(F118*G118),0)</f>
        <v>4.2553191489361701E-2</v>
      </c>
      <c r="I118" s="79">
        <f>VLOOKUP(D118,Tableau_REF_Mesures[],8,FALSE)*H118/IF(VLOOKUP(D118,Tableau_REF_Mesures[],6,FALSE)&gt;0,VLOOKUP(D118,Tableau_REF_Mesures[],6,FALSE),1)</f>
        <v>168.32984599228865</v>
      </c>
      <c r="K118" s="66"/>
      <c r="L118" s="113"/>
      <c r="M118" s="113"/>
    </row>
    <row r="119" spans="1:13" x14ac:dyDescent="0.2">
      <c r="A119" s="65" t="s">
        <v>68</v>
      </c>
      <c r="B119" s="39" t="str">
        <f>VLOOKUP(A119,Tableau_REF_Risques[],2,FALSE)</f>
        <v>Ouverture d'un canal de commande et d'exfiltration sur le réseau</v>
      </c>
      <c r="C119" s="39">
        <f>_xlfn.MAXIFS(Tableau_REF_SMSR[Vrais Retenue],Tableau_REF_SMSR['#SM],Tableau_REF_SMMS[[#This Row],['#SM]])</f>
        <v>4</v>
      </c>
      <c r="D119" s="66" t="s">
        <v>282</v>
      </c>
      <c r="E119" s="39" t="str">
        <f>VLOOKUP(D119,Tableau_REF_Mesures[],2,FALSE)</f>
        <v>Service de supervision de sécurité (SOC)</v>
      </c>
      <c r="F119" s="143">
        <v>6.3829787234042548E-2</v>
      </c>
      <c r="G119" s="143">
        <f>IFERROR(VLOOKUP(Tableau_REF_SMMS[[#This Row],['#MS]],Tableau_REC_Mesures[#All],6,FALSE),0)</f>
        <v>0</v>
      </c>
      <c r="H119" s="144">
        <f>IF(VLOOKUP(D119,Tableau_REF_Mesures[],3,FALSE)="OUI",F119+(F119*G119),0)</f>
        <v>6.3829787234042548E-2</v>
      </c>
      <c r="I119" s="79">
        <f>VLOOKUP(D119,Tableau_REF_Mesures[],8,FALSE)*H119/IF(VLOOKUP(D119,Tableau_REF_Mesures[],6,FALSE)&gt;0,VLOOKUP(D119,Tableau_REF_Mesures[],6,FALSE),1)</f>
        <v>2011.8758484709983</v>
      </c>
      <c r="K119" s="66"/>
      <c r="L119" s="113"/>
      <c r="M119" s="113"/>
    </row>
    <row r="120" spans="1:13" x14ac:dyDescent="0.2">
      <c r="A120" s="65" t="s">
        <v>68</v>
      </c>
      <c r="B120" s="39" t="str">
        <f>VLOOKUP(A120,Tableau_REF_Risques[],2,FALSE)</f>
        <v>Ouverture d'un canal de commande et d'exfiltration sur le réseau</v>
      </c>
      <c r="C120" s="39">
        <f>_xlfn.MAXIFS(Tableau_REF_SMSR[Vrais Retenue],Tableau_REF_SMSR['#SM],Tableau_REF_SMMS[[#This Row],['#SM]])</f>
        <v>4</v>
      </c>
      <c r="D120" s="66" t="s">
        <v>283</v>
      </c>
      <c r="E120" s="39" t="str">
        <f>VLOOKUP(D120,Tableau_REF_Mesures[],2,FALSE)</f>
        <v>Service de gestion des solutions de sécurité</v>
      </c>
      <c r="F120" s="143">
        <v>0.10638297872340426</v>
      </c>
      <c r="G120" s="143">
        <f>IFERROR(VLOOKUP(Tableau_REF_SMMS[[#This Row],['#MS]],Tableau_REC_Mesures[#All],6,FALSE),0)</f>
        <v>0</v>
      </c>
      <c r="H120" s="144">
        <f>IF(VLOOKUP(D120,Tableau_REF_Mesures[],3,FALSE)="OUI",F120+(F120*G120),0)</f>
        <v>0.10638297872340426</v>
      </c>
      <c r="I120" s="79"/>
      <c r="K120" s="66"/>
      <c r="L120" s="113"/>
      <c r="M120" s="113"/>
    </row>
    <row r="121" spans="1:13" x14ac:dyDescent="0.2">
      <c r="A121" s="65" t="s">
        <v>68</v>
      </c>
      <c r="B121" s="39" t="str">
        <f>VLOOKUP(A121,Tableau_REF_Risques[],2,FALSE)</f>
        <v>Ouverture d'un canal de commande et d'exfiltration sur le réseau</v>
      </c>
      <c r="C121" s="39">
        <f>_xlfn.MAXIFS(Tableau_REF_SMSR[Vrais Retenue],Tableau_REF_SMSR['#SM],Tableau_REF_SMMS[[#This Row],['#SM]])</f>
        <v>4</v>
      </c>
      <c r="D121" s="66" t="s">
        <v>286</v>
      </c>
      <c r="E121" s="39" t="str">
        <f>VLOOKUP(D121,Tableau_REF_Mesures[],2,FALSE)</f>
        <v>Service d'audit SSI</v>
      </c>
      <c r="F121" s="143">
        <v>6.3829787234042548E-2</v>
      </c>
      <c r="G121" s="143">
        <f>IFERROR(VLOOKUP(Tableau_REF_SMMS[[#This Row],['#MS]],Tableau_REC_Mesures[#All],6,FALSE),0)</f>
        <v>0</v>
      </c>
      <c r="H121" s="144">
        <f>IF(VLOOKUP(D121,Tableau_REF_Mesures[],3,FALSE)="OUI",F121+(F121*G121),0)</f>
        <v>6.3829787234042548E-2</v>
      </c>
      <c r="I121" s="79">
        <f>VLOOKUP(D121,Tableau_REF_Mesures[],8,FALSE)*H121/IF(VLOOKUP(D121,Tableau_REF_Mesures[],6,FALSE)&gt;0,VLOOKUP(D121,Tableau_REF_Mesures[],6,FALSE),1)</f>
        <v>3452.7615901853328</v>
      </c>
      <c r="K121" s="66"/>
      <c r="L121" s="113"/>
      <c r="M121" s="113"/>
    </row>
    <row r="122" spans="1:13" x14ac:dyDescent="0.2">
      <c r="A122" s="65" t="s">
        <v>67</v>
      </c>
      <c r="B122" s="39" t="str">
        <f>VLOOKUP(A122,Tableau_REF_Risques[],2,FALSE)</f>
        <v>Mouvement latéral en vue d'atteindre l'objectif</v>
      </c>
      <c r="C122" s="39">
        <f>_xlfn.MAXIFS(Tableau_REF_SMSR[Vrais Retenue],Tableau_REF_SMSR['#SM],Tableau_REF_SMMS[[#This Row],['#SM]])</f>
        <v>4</v>
      </c>
      <c r="D122" s="66" t="s">
        <v>241</v>
      </c>
      <c r="E122" s="39" t="str">
        <f>VLOOKUP(D122,Tableau_REF_Mesures[],2,FALSE)</f>
        <v>Solution de pare-feu (élémentaire)</v>
      </c>
      <c r="F122" s="143">
        <v>4.3478260869565223E-2</v>
      </c>
      <c r="G122" s="143">
        <f>IFERROR(VLOOKUP(Tableau_REF_SMMS[[#This Row],['#MS]],Tableau_REC_Mesures[#All],6,FALSE),0)</f>
        <v>0</v>
      </c>
      <c r="H122" s="144">
        <f>IF(VLOOKUP(D122,Tableau_REF_Mesures[],3,FALSE)="OUI",F122+(F122*G122),0)</f>
        <v>0</v>
      </c>
      <c r="I122" s="79">
        <f>VLOOKUP(D122,Tableau_REF_Mesures[],8,FALSE)*H122/IF(VLOOKUP(D122,Tableau_REF_Mesures[],6,FALSE)&gt;0,VLOOKUP(D122,Tableau_REF_Mesures[],6,FALSE),1)</f>
        <v>0</v>
      </c>
      <c r="K122" s="66"/>
    </row>
    <row r="123" spans="1:13" x14ac:dyDescent="0.2">
      <c r="A123" s="65" t="s">
        <v>67</v>
      </c>
      <c r="B123" s="39" t="str">
        <f>VLOOKUP(A123,Tableau_REF_Risques[],2,FALSE)</f>
        <v>Mouvement latéral en vue d'atteindre l'objectif</v>
      </c>
      <c r="C123" s="39">
        <f>_xlfn.MAXIFS(Tableau_REF_SMSR[Vrais Retenue],Tableau_REF_SMSR['#SM],Tableau_REF_SMMS[[#This Row],['#SM]])</f>
        <v>4</v>
      </c>
      <c r="D123" s="66" t="s">
        <v>243</v>
      </c>
      <c r="E123" s="39" t="str">
        <f>VLOOKUP(D123,Tableau_REF_Mesures[],2,FALSE)</f>
        <v>Solution de pare-feu (intermédiaire)</v>
      </c>
      <c r="F123" s="143">
        <v>0.13043478260869568</v>
      </c>
      <c r="G123" s="143">
        <f>IFERROR(VLOOKUP(Tableau_REF_SMMS[[#This Row],['#MS]],Tableau_REC_Mesures[#All],6,FALSE),0)</f>
        <v>0</v>
      </c>
      <c r="H123" s="144">
        <f>IF(VLOOKUP(D123,Tableau_REF_Mesures[],3,FALSE)="OUI",F123+(F123*G123),0)</f>
        <v>0</v>
      </c>
      <c r="I123" s="79">
        <f>VLOOKUP(D123,Tableau_REF_Mesures[],8,FALSE)*H123/IF(VLOOKUP(D123,Tableau_REF_Mesures[],6,FALSE)&gt;0,VLOOKUP(D123,Tableau_REF_Mesures[],6,FALSE),1)</f>
        <v>0</v>
      </c>
      <c r="K123" s="66"/>
      <c r="L123" s="113"/>
      <c r="M123" s="113"/>
    </row>
    <row r="124" spans="1:13" s="113" customFormat="1" x14ac:dyDescent="0.2">
      <c r="A124" s="65" t="s">
        <v>67</v>
      </c>
      <c r="B124" s="65" t="str">
        <f>VLOOKUP(A124,Tableau_REF_Risques[],2,FALSE)</f>
        <v>Mouvement latéral en vue d'atteindre l'objectif</v>
      </c>
      <c r="C124" s="146">
        <f>_xlfn.MAXIFS(Tableau_REF_SMSR[Vrais Retenue],Tableau_REF_SMSR['#SM],Tableau_REF_SMMS[[#This Row],['#SM]])</f>
        <v>4</v>
      </c>
      <c r="D124" s="147" t="s">
        <v>245</v>
      </c>
      <c r="E124" s="65" t="str">
        <f>VLOOKUP(D124,Tableau_REF_Mesures[],2,FALSE)</f>
        <v>Solution de pare-feu (avancé)</v>
      </c>
      <c r="F124" s="143">
        <v>0.13043478260869568</v>
      </c>
      <c r="G124" s="143">
        <f>IFERROR(VLOOKUP(Tableau_REF_SMMS[[#This Row],['#MS]],Tableau_REC_Mesures[#All],6,FALSE),0)</f>
        <v>0</v>
      </c>
      <c r="H124" s="77">
        <f>IF(VLOOKUP(D124,Tableau_REF_Mesures[],3,FALSE)="OUI",F124+(F124*G124),0)</f>
        <v>0.13043478260869568</v>
      </c>
      <c r="I124" s="79">
        <f>VLOOKUP(D124,Tableau_REF_Mesures[],8,FALSE)*H124/IF(VLOOKUP(D124,Tableau_REF_Mesures[],6,FALSE)&gt;0,VLOOKUP(D124,Tableau_REF_Mesures[],6,FALSE),1)</f>
        <v>1704.3423699065354</v>
      </c>
      <c r="K124" s="66"/>
    </row>
    <row r="125" spans="1:13" x14ac:dyDescent="0.2">
      <c r="A125" s="65" t="s">
        <v>67</v>
      </c>
      <c r="B125" s="39" t="str">
        <f>VLOOKUP(A125,Tableau_REF_Risques[],2,FALSE)</f>
        <v>Mouvement latéral en vue d'atteindre l'objectif</v>
      </c>
      <c r="C125" s="39">
        <f>_xlfn.MAXIFS(Tableau_REF_SMSR[Vrais Retenue],Tableau_REF_SMSR['#SM],Tableau_REF_SMMS[[#This Row],['#SM]])</f>
        <v>4</v>
      </c>
      <c r="D125" s="66" t="s">
        <v>249</v>
      </c>
      <c r="E125" s="39" t="str">
        <f>VLOOKUP(D125,Tableau_REF_Mesures[],2,FALSE)</f>
        <v>Solution d'accès distants (VPN utilisateurs Nomades)</v>
      </c>
      <c r="F125" s="143">
        <v>4.3478260869565223E-2</v>
      </c>
      <c r="G125" s="143">
        <f>IFERROR(VLOOKUP(Tableau_REF_SMMS[[#This Row],['#MS]],Tableau_REC_Mesures[#All],6,FALSE),0)</f>
        <v>0.8</v>
      </c>
      <c r="H125" s="144">
        <f>IF(VLOOKUP(D125,Tableau_REF_Mesures[],3,FALSE)="OUI",F125+(F125*G125),0)</f>
        <v>7.8260869565217411E-2</v>
      </c>
      <c r="I125" s="79">
        <f>VLOOKUP(D125,Tableau_REF_Mesures[],8,FALSE)*H125/IF(VLOOKUP(D125,Tableau_REF_Mesures[],6,FALSE)&gt;0,VLOOKUP(D125,Tableau_REF_Mesures[],6,FALSE),1)</f>
        <v>16370.429064078922</v>
      </c>
      <c r="K125" s="66"/>
      <c r="L125" s="113"/>
      <c r="M125" s="113"/>
    </row>
    <row r="126" spans="1:13" x14ac:dyDescent="0.2">
      <c r="A126" s="65" t="s">
        <v>67</v>
      </c>
      <c r="B126" s="39" t="str">
        <f>VLOOKUP(A126,Tableau_REF_Risques[],2,FALSE)</f>
        <v>Mouvement latéral en vue d'atteindre l'objectif</v>
      </c>
      <c r="C126" s="39">
        <f>_xlfn.MAXIFS(Tableau_REF_SMSR[Vrais Retenue],Tableau_REF_SMSR['#SM],Tableau_REF_SMMS[[#This Row],['#SM]])</f>
        <v>4</v>
      </c>
      <c r="D126" s="66" t="s">
        <v>262</v>
      </c>
      <c r="E126" s="39" t="str">
        <f>VLOOKUP(D126,Tableau_REF_Mesures[],2,FALSE)</f>
        <v>Sondes spécialisées IDPS (Détection &amp; Prévention d'intrusion)</v>
      </c>
      <c r="F126" s="143">
        <v>8.6956521739130446E-2</v>
      </c>
      <c r="G126" s="143">
        <f>IFERROR(VLOOKUP(Tableau_REF_SMMS[[#This Row],['#MS]],Tableau_REC_Mesures[#All],6,FALSE),0)</f>
        <v>0.8</v>
      </c>
      <c r="H126" s="144">
        <f>IF(VLOOKUP(D126,Tableau_REF_Mesures[],3,FALSE)="OUI",F126+(F126*G126),0)</f>
        <v>0.15652173913043482</v>
      </c>
      <c r="I126" s="79">
        <f>VLOOKUP(D126,Tableau_REF_Mesures[],8,FALSE)*H126/IF(VLOOKUP(D126,Tableau_REF_Mesures[],6,FALSE)&gt;0,VLOOKUP(D126,Tableau_REF_Mesures[],6,FALSE),1)</f>
        <v>3650.7603928227099</v>
      </c>
      <c r="K126" s="66"/>
      <c r="L126" s="113"/>
      <c r="M126" s="113"/>
    </row>
    <row r="127" spans="1:13" x14ac:dyDescent="0.2">
      <c r="A127" s="65" t="s">
        <v>67</v>
      </c>
      <c r="B127" s="39" t="str">
        <f>VLOOKUP(A127,Tableau_REF_Risques[],2,FALSE)</f>
        <v>Mouvement latéral en vue d'atteindre l'objectif</v>
      </c>
      <c r="C127" s="39">
        <f>_xlfn.MAXIFS(Tableau_REF_SMSR[Vrais Retenue],Tableau_REF_SMSR['#SM],Tableau_REF_SMMS[[#This Row],['#SM]])</f>
        <v>4</v>
      </c>
      <c r="D127" s="66" t="s">
        <v>265</v>
      </c>
      <c r="E127" s="39" t="str">
        <f>VLOOKUP(D127,Tableau_REF_Mesures[],2,FALSE)</f>
        <v>Solution de détection et de gestion des vulnérabilités</v>
      </c>
      <c r="F127" s="143">
        <v>0.10869565217391305</v>
      </c>
      <c r="G127" s="143">
        <f>IFERROR(VLOOKUP(Tableau_REF_SMMS[[#This Row],['#MS]],Tableau_REC_Mesures[#All],6,FALSE),0)</f>
        <v>0</v>
      </c>
      <c r="H127" s="144">
        <f>IF(VLOOKUP(D127,Tableau_REF_Mesures[],3,FALSE)="OUI",F127+(F127*G127),0)</f>
        <v>0.10869565217391305</v>
      </c>
      <c r="I127" s="79">
        <f>VLOOKUP(D127,Tableau_REF_Mesures[],8,FALSE)*H127/IF(VLOOKUP(D127,Tableau_REF_Mesures[],6,FALSE)&gt;0,VLOOKUP(D127,Tableau_REF_Mesures[],6,FALSE),1)</f>
        <v>5033.9011586084471</v>
      </c>
      <c r="K127" s="66"/>
      <c r="L127" s="113"/>
      <c r="M127" s="113"/>
    </row>
    <row r="128" spans="1:13" x14ac:dyDescent="0.2">
      <c r="A128" s="65" t="s">
        <v>67</v>
      </c>
      <c r="B128" s="39" t="str">
        <f>VLOOKUP(A128,Tableau_REF_Risques[],2,FALSE)</f>
        <v>Mouvement latéral en vue d'atteindre l'objectif</v>
      </c>
      <c r="C128" s="39">
        <f>_xlfn.MAXIFS(Tableau_REF_SMSR[Vrais Retenue],Tableau_REF_SMSR['#SM],Tableau_REF_SMMS[[#This Row],['#SM]])</f>
        <v>4</v>
      </c>
      <c r="D128" s="66" t="s">
        <v>272</v>
      </c>
      <c r="E128" s="39" t="str">
        <f>VLOOKUP(D128,Tableau_REF_Mesures[],2,FALSE)</f>
        <v>Solution de protection des terminaux (Antimalware basique)</v>
      </c>
      <c r="F128" s="143">
        <v>4.3478260869565223E-2</v>
      </c>
      <c r="G128" s="143">
        <f>IFERROR(VLOOKUP(Tableau_REF_SMMS[[#This Row],['#MS]],Tableau_REC_Mesures[#All],6,FALSE),0)</f>
        <v>0</v>
      </c>
      <c r="H128" s="144">
        <f>IF(VLOOKUP(D128,Tableau_REF_Mesures[],3,FALSE)="OUI",F128+(F128*G128),0)</f>
        <v>0</v>
      </c>
      <c r="I128" s="79">
        <f>VLOOKUP(D128,Tableau_REF_Mesures[],8,FALSE)*H128/IF(VLOOKUP(D128,Tableau_REF_Mesures[],6,FALSE)&gt;0,VLOOKUP(D128,Tableau_REF_Mesures[],6,FALSE),1)</f>
        <v>0</v>
      </c>
      <c r="K128" s="66"/>
      <c r="L128" s="113"/>
      <c r="M128" s="113"/>
    </row>
    <row r="129" spans="1:13" x14ac:dyDescent="0.2">
      <c r="A129" s="65" t="s">
        <v>67</v>
      </c>
      <c r="B129" s="39" t="str">
        <f>VLOOKUP(A129,Tableau_REF_Risques[],2,FALSE)</f>
        <v>Mouvement latéral en vue d'atteindre l'objectif</v>
      </c>
      <c r="C129" s="39">
        <f>_xlfn.MAXIFS(Tableau_REF_SMSR[Vrais Retenue],Tableau_REF_SMSR['#SM],Tableau_REF_SMMS[[#This Row],['#SM]])</f>
        <v>4</v>
      </c>
      <c r="D129" s="66" t="s">
        <v>273</v>
      </c>
      <c r="E129" s="39" t="str">
        <f>VLOOKUP(D129,Tableau_REF_Mesures[],2,FALSE)</f>
        <v>Solution de protection des terminaux (EDR)</v>
      </c>
      <c r="F129" s="143">
        <v>0.21739130434782611</v>
      </c>
      <c r="G129" s="143">
        <f>IFERROR(VLOOKUP(Tableau_REF_SMMS[[#This Row],['#MS]],Tableau_REC_Mesures[#All],6,FALSE),0)</f>
        <v>0</v>
      </c>
      <c r="H129" s="144">
        <f>IF(VLOOKUP(D129,Tableau_REF_Mesures[],3,FALSE)="OUI",F129+(F129*G129),0)</f>
        <v>0.21739130434782611</v>
      </c>
      <c r="I129" s="79">
        <f>VLOOKUP(D129,Tableau_REF_Mesures[],8,FALSE)*H129/IF(VLOOKUP(D129,Tableau_REF_Mesures[],6,FALSE)&gt;0,VLOOKUP(D129,Tableau_REF_Mesures[],6,FALSE),1)</f>
        <v>3486.1608252034821</v>
      </c>
      <c r="K129" s="66"/>
      <c r="L129" s="113"/>
      <c r="M129" s="113"/>
    </row>
    <row r="130" spans="1:13" x14ac:dyDescent="0.2">
      <c r="A130" s="65" t="s">
        <v>67</v>
      </c>
      <c r="B130" s="39" t="str">
        <f>VLOOKUP(A130,Tableau_REF_Risques[],2,FALSE)</f>
        <v>Mouvement latéral en vue d'atteindre l'objectif</v>
      </c>
      <c r="C130" s="39">
        <f>_xlfn.MAXIFS(Tableau_REF_SMSR[Vrais Retenue],Tableau_REF_SMSR['#SM],Tableau_REF_SMMS[[#This Row],['#SM]])</f>
        <v>4</v>
      </c>
      <c r="D130" s="66" t="s">
        <v>278</v>
      </c>
      <c r="E130" s="39" t="str">
        <f>VLOOKUP(D130,Tableau_REF_Mesures[],2,FALSE)</f>
        <v>Solution de collecte et de traitement des événements (SIEM)</v>
      </c>
      <c r="F130" s="143">
        <v>4.3478260869565223E-2</v>
      </c>
      <c r="G130" s="143">
        <f>IFERROR(VLOOKUP(Tableau_REF_SMMS[[#This Row],['#MS]],Tableau_REC_Mesures[#All],6,FALSE),0)</f>
        <v>0</v>
      </c>
      <c r="H130" s="144">
        <f>IF(VLOOKUP(D130,Tableau_REF_Mesures[],3,FALSE)="OUI",F130+(F130*G130),0)</f>
        <v>4.3478260869565223E-2</v>
      </c>
      <c r="I130" s="79">
        <f>VLOOKUP(D130,Tableau_REF_Mesures[],8,FALSE)*H130/IF(VLOOKUP(D130,Tableau_REF_Mesures[],6,FALSE)&gt;0,VLOOKUP(D130,Tableau_REF_Mesures[],6,FALSE),1)</f>
        <v>171.98919047038191</v>
      </c>
      <c r="K130" s="66"/>
      <c r="L130" s="113"/>
      <c r="M130" s="113"/>
    </row>
    <row r="131" spans="1:13" x14ac:dyDescent="0.2">
      <c r="A131" s="65" t="s">
        <v>67</v>
      </c>
      <c r="B131" s="39" t="str">
        <f>VLOOKUP(A131,Tableau_REF_Risques[],2,FALSE)</f>
        <v>Mouvement latéral en vue d'atteindre l'objectif</v>
      </c>
      <c r="C131" s="39">
        <f>_xlfn.MAXIFS(Tableau_REF_SMSR[Vrais Retenue],Tableau_REF_SMSR['#SM],Tableau_REF_SMMS[[#This Row],['#SM]])</f>
        <v>4</v>
      </c>
      <c r="D131" s="66" t="s">
        <v>281</v>
      </c>
      <c r="E131" s="39" t="str">
        <f>VLOOKUP(D131,Tableau_REF_Mesures[],2,FALSE)</f>
        <v>Solution de gestion des sauvegardes</v>
      </c>
      <c r="F131" s="143">
        <v>0.17391304347826089</v>
      </c>
      <c r="G131" s="143">
        <f>IFERROR(VLOOKUP(Tableau_REF_SMMS[[#This Row],['#MS]],Tableau_REC_Mesures[#All],6,FALSE),0)</f>
        <v>0</v>
      </c>
      <c r="H131" s="144">
        <f>IF(VLOOKUP(D131,Tableau_REF_Mesures[],3,FALSE)="OUI",F131+(F131*G131),0)</f>
        <v>0.17391304347826089</v>
      </c>
      <c r="I131" s="79">
        <f>VLOOKUP(D131,Tableau_REF_Mesures[],8,FALSE)*H131/IF(VLOOKUP(D131,Tableau_REF_Mesures[],6,FALSE)&gt;0,VLOOKUP(D131,Tableau_REF_Mesures[],6,FALSE),1)</f>
        <v>23621.114948199312</v>
      </c>
      <c r="K131" s="66"/>
      <c r="L131" s="113"/>
      <c r="M131" s="113"/>
    </row>
    <row r="132" spans="1:13" x14ac:dyDescent="0.2">
      <c r="A132" s="65" t="s">
        <v>67</v>
      </c>
      <c r="B132" s="39" t="str">
        <f>VLOOKUP(A132,Tableau_REF_Risques[],2,FALSE)</f>
        <v>Mouvement latéral en vue d'atteindre l'objectif</v>
      </c>
      <c r="C132" s="39">
        <f>_xlfn.MAXIFS(Tableau_REF_SMSR[Vrais Retenue],Tableau_REF_SMSR['#SM],Tableau_REF_SMMS[[#This Row],['#SM]])</f>
        <v>4</v>
      </c>
      <c r="D132" s="66" t="s">
        <v>282</v>
      </c>
      <c r="E132" s="39" t="str">
        <f>VLOOKUP(D132,Tableau_REF_Mesures[],2,FALSE)</f>
        <v>Service de supervision de sécurité (SOC)</v>
      </c>
      <c r="F132" s="143">
        <v>6.5217391304347824E-2</v>
      </c>
      <c r="G132" s="143">
        <f>IFERROR(VLOOKUP(Tableau_REF_SMMS[[#This Row],['#MS]],Tableau_REC_Mesures[#All],6,FALSE),0)</f>
        <v>0</v>
      </c>
      <c r="H132" s="144">
        <f>IF(VLOOKUP(D132,Tableau_REF_Mesures[],3,FALSE)="OUI",F132+(F132*G132),0)</f>
        <v>6.5217391304347824E-2</v>
      </c>
      <c r="I132" s="79">
        <f>VLOOKUP(D132,Tableau_REF_Mesures[],8,FALSE)*H132/IF(VLOOKUP(D132,Tableau_REF_Mesures[],6,FALSE)&gt;0,VLOOKUP(D132,Tableau_REF_Mesures[],6,FALSE),1)</f>
        <v>2055.6122799594987</v>
      </c>
      <c r="K132" s="66"/>
      <c r="L132" s="113"/>
      <c r="M132" s="113"/>
    </row>
    <row r="133" spans="1:13" x14ac:dyDescent="0.2">
      <c r="A133" s="65" t="s">
        <v>67</v>
      </c>
      <c r="B133" s="39" t="str">
        <f>VLOOKUP(A133,Tableau_REF_Risques[],2,FALSE)</f>
        <v>Mouvement latéral en vue d'atteindre l'objectif</v>
      </c>
      <c r="C133" s="39">
        <f>_xlfn.MAXIFS(Tableau_REF_SMSR[Vrais Retenue],Tableau_REF_SMSR['#SM],Tableau_REF_SMMS[[#This Row],['#SM]])</f>
        <v>4</v>
      </c>
      <c r="D133" s="66" t="s">
        <v>283</v>
      </c>
      <c r="E133" s="39" t="str">
        <f>VLOOKUP(D133,Tableau_REF_Mesures[],2,FALSE)</f>
        <v>Service de gestion des solutions de sécurité</v>
      </c>
      <c r="F133" s="143">
        <v>6.5217391304347824E-2</v>
      </c>
      <c r="G133" s="143">
        <f>IFERROR(VLOOKUP(Tableau_REF_SMMS[[#This Row],['#MS]],Tableau_REC_Mesures[#All],6,FALSE),0)</f>
        <v>0</v>
      </c>
      <c r="H133" s="144">
        <f>IF(VLOOKUP(D133,Tableau_REF_Mesures[],3,FALSE)="OUI",F133+(F133*G133),0)</f>
        <v>6.5217391304347824E-2</v>
      </c>
      <c r="I133" s="79"/>
      <c r="K133" s="66"/>
      <c r="L133" s="113"/>
      <c r="M133" s="113"/>
    </row>
    <row r="134" spans="1:13" x14ac:dyDescent="0.2">
      <c r="A134" s="65" t="s">
        <v>67</v>
      </c>
      <c r="B134" s="39" t="str">
        <f>VLOOKUP(A134,Tableau_REF_Risques[],2,FALSE)</f>
        <v>Mouvement latéral en vue d'atteindre l'objectif</v>
      </c>
      <c r="C134" s="39">
        <f>_xlfn.MAXIFS(Tableau_REF_SMSR[Vrais Retenue],Tableau_REF_SMSR['#SM],Tableau_REF_SMMS[[#This Row],['#SM]])</f>
        <v>4</v>
      </c>
      <c r="D134" s="66" t="s">
        <v>286</v>
      </c>
      <c r="E134" s="39" t="str">
        <f>VLOOKUP(D134,Tableau_REF_Mesures[],2,FALSE)</f>
        <v>Service d'audit SSI</v>
      </c>
      <c r="F134" s="143">
        <v>6.5217391304347824E-2</v>
      </c>
      <c r="G134" s="143">
        <f>IFERROR(VLOOKUP(Tableau_REF_SMMS[[#This Row],['#MS]],Tableau_REC_Mesures[#All],6,FALSE),0)</f>
        <v>0</v>
      </c>
      <c r="H134" s="144">
        <f>IF(VLOOKUP(D134,Tableau_REF_Mesures[],3,FALSE)="OUI",F134+(F134*G134),0)</f>
        <v>6.5217391304347824E-2</v>
      </c>
      <c r="I134" s="79">
        <f>VLOOKUP(D134,Tableau_REF_Mesures[],8,FALSE)*H134/IF(VLOOKUP(D134,Tableau_REF_Mesures[],6,FALSE)&gt;0,VLOOKUP(D134,Tableau_REF_Mesures[],6,FALSE),1)</f>
        <v>3527.8216247545797</v>
      </c>
      <c r="K134" s="66"/>
      <c r="L134" s="113"/>
      <c r="M134" s="113"/>
    </row>
    <row r="135" spans="1:13" x14ac:dyDescent="0.2">
      <c r="A135" s="65" t="s">
        <v>66</v>
      </c>
      <c r="B135" s="39" t="str">
        <f>VLOOKUP(A135,Tableau_REF_Risques[],2,FALSE)</f>
        <v>Contournement des mécanismes de contrôle afin d'effectuer une élévation de privilèges</v>
      </c>
      <c r="C135" s="39">
        <f>_xlfn.MAXIFS(Tableau_REF_SMSR[Vrais Retenue],Tableau_REF_SMSR['#SM],Tableau_REF_SMMS[[#This Row],['#SM]])</f>
        <v>3</v>
      </c>
      <c r="D135" s="66" t="s">
        <v>273</v>
      </c>
      <c r="E135" s="39" t="str">
        <f>VLOOKUP(D135,Tableau_REF_Mesures[],2,FALSE)</f>
        <v>Solution de protection des terminaux (EDR)</v>
      </c>
      <c r="F135" s="143">
        <v>0.23529411764705885</v>
      </c>
      <c r="G135" s="143">
        <f>IFERROR(VLOOKUP(Tableau_REF_SMMS[[#This Row],['#MS]],Tableau_REC_Mesures[#All],6,FALSE),0)</f>
        <v>0</v>
      </c>
      <c r="H135" s="144">
        <f>IF(VLOOKUP(D135,Tableau_REF_Mesures[],3,FALSE)="OUI",F135+(F135*G135),0)</f>
        <v>0.23529411764705885</v>
      </c>
      <c r="I135" s="79">
        <f>VLOOKUP(D135,Tableau_REF_Mesures[],8,FALSE)*H135/IF(VLOOKUP(D135,Tableau_REF_Mesures[],6,FALSE)&gt;0,VLOOKUP(D135,Tableau_REF_Mesures[],6,FALSE),1)</f>
        <v>3773.2564225731808</v>
      </c>
    </row>
    <row r="136" spans="1:13" x14ac:dyDescent="0.2">
      <c r="A136" s="65" t="s">
        <v>66</v>
      </c>
      <c r="B136" s="39" t="str">
        <f>VLOOKUP(A136,Tableau_REF_Risques[],2,FALSE)</f>
        <v>Contournement des mécanismes de contrôle afin d'effectuer une élévation de privilèges</v>
      </c>
      <c r="C136" s="39">
        <f>_xlfn.MAXIFS(Tableau_REF_SMSR[Vrais Retenue],Tableau_REF_SMSR['#SM],Tableau_REF_SMMS[[#This Row],['#SM]])</f>
        <v>3</v>
      </c>
      <c r="D136" s="66" t="s">
        <v>275</v>
      </c>
      <c r="E136" s="39" t="str">
        <f>VLOOKUP(D136,Tableau_REF_Mesures[],2,FALSE)</f>
        <v>Solution de gestion des comptes à privilèges (PAM)</v>
      </c>
      <c r="F136" s="143">
        <v>0.23529411764705885</v>
      </c>
      <c r="G136" s="143">
        <f>IFERROR(VLOOKUP(Tableau_REF_SMMS[[#This Row],['#MS]],Tableau_REC_Mesures[#All],6,FALSE),0)</f>
        <v>0</v>
      </c>
      <c r="H136" s="144">
        <f>IF(VLOOKUP(D136,Tableau_REF_Mesures[],3,FALSE)="OUI",F136+(F136*G136),0)</f>
        <v>0.23529411764705885</v>
      </c>
      <c r="I136" s="79">
        <f>VLOOKUP(D136,Tableau_REF_Mesures[],8,FALSE)*H136/IF(VLOOKUP(D136,Tableau_REF_Mesures[],6,FALSE)&gt;0,VLOOKUP(D136,Tableau_REF_Mesures[],6,FALSE),1)</f>
        <v>23428.524989841528</v>
      </c>
    </row>
    <row r="137" spans="1:13" x14ac:dyDescent="0.2">
      <c r="A137" s="65" t="s">
        <v>66</v>
      </c>
      <c r="B137" s="39" t="str">
        <f>VLOOKUP(A137,Tableau_REF_Risques[],2,FALSE)</f>
        <v>Contournement des mécanismes de contrôle afin d'effectuer une élévation de privilèges</v>
      </c>
      <c r="C137" s="39">
        <f>_xlfn.MAXIFS(Tableau_REF_SMSR[Vrais Retenue],Tableau_REF_SMSR['#SM],Tableau_REF_SMMS[[#This Row],['#SM]])</f>
        <v>3</v>
      </c>
      <c r="D137" s="66" t="s">
        <v>278</v>
      </c>
      <c r="E137" s="39" t="str">
        <f>VLOOKUP(D137,Tableau_REF_Mesures[],2,FALSE)</f>
        <v>Solution de collecte et de traitement des événements (SIEM)</v>
      </c>
      <c r="F137" s="143">
        <v>5.8823529411764712E-2</v>
      </c>
      <c r="G137" s="143">
        <f>IFERROR(VLOOKUP(Tableau_REF_SMMS[[#This Row],['#MS]],Tableau_REC_Mesures[#All],6,FALSE),0)</f>
        <v>0</v>
      </c>
      <c r="H137" s="144">
        <f>IF(VLOOKUP(D137,Tableau_REF_Mesures[],3,FALSE)="OUI",F137+(F137*G137),0)</f>
        <v>5.8823529411764712E-2</v>
      </c>
      <c r="I137" s="79">
        <f>VLOOKUP(D137,Tableau_REF_Mesures[],8,FALSE)*H137/IF(VLOOKUP(D137,Tableau_REF_Mesures[],6,FALSE)&gt;0,VLOOKUP(D137,Tableau_REF_Mesures[],6,FALSE),1)</f>
        <v>232.69125769522256</v>
      </c>
    </row>
    <row r="138" spans="1:13" x14ac:dyDescent="0.2">
      <c r="A138" s="65" t="s">
        <v>66</v>
      </c>
      <c r="B138" s="39" t="str">
        <f>VLOOKUP(A138,Tableau_REF_Risques[],2,FALSE)</f>
        <v>Contournement des mécanismes de contrôle afin d'effectuer une élévation de privilèges</v>
      </c>
      <c r="C138" s="39">
        <f>_xlfn.MAXIFS(Tableau_REF_SMSR[Vrais Retenue],Tableau_REF_SMSR['#SM],Tableau_REF_SMMS[[#This Row],['#SM]])</f>
        <v>3</v>
      </c>
      <c r="D138" s="66" t="s">
        <v>279</v>
      </c>
      <c r="E138" s="39" t="str">
        <f>VLOOKUP(D138,Tableau_REF_Mesures[],2,FALSE)</f>
        <v>Solution de contrôle de configuration technique (ex Puppet,Ansible)</v>
      </c>
      <c r="F138" s="143">
        <v>0.14705882352941177</v>
      </c>
      <c r="G138" s="143">
        <f>IFERROR(VLOOKUP(Tableau_REF_SMMS[[#This Row],['#MS]],Tableau_REC_Mesures[#All],6,FALSE),0)</f>
        <v>0</v>
      </c>
      <c r="H138" s="144">
        <f>IF(VLOOKUP(D138,Tableau_REF_Mesures[],3,FALSE)="OUI",F138+(F138*G138),0)</f>
        <v>0.14705882352941177</v>
      </c>
      <c r="I138" s="79">
        <f>VLOOKUP(D138,Tableau_REF_Mesures[],8,FALSE)*H138/IF(VLOOKUP(D138,Tableau_REF_Mesures[],6,FALSE)&gt;0,VLOOKUP(D138,Tableau_REF_Mesures[],6,FALSE),1)</f>
        <v>4095.6542977596882</v>
      </c>
    </row>
    <row r="139" spans="1:13" x14ac:dyDescent="0.2">
      <c r="A139" s="65" t="s">
        <v>66</v>
      </c>
      <c r="B139" s="39" t="str">
        <f>VLOOKUP(A139,Tableau_REF_Risques[],2,FALSE)</f>
        <v>Contournement des mécanismes de contrôle afin d'effectuer une élévation de privilèges</v>
      </c>
      <c r="C139" s="39">
        <f>_xlfn.MAXIFS(Tableau_REF_SMSR[Vrais Retenue],Tableau_REF_SMSR['#SM],Tableau_REF_SMMS[[#This Row],['#SM]])</f>
        <v>3</v>
      </c>
      <c r="D139" s="66" t="s">
        <v>282</v>
      </c>
      <c r="E139" s="39" t="str">
        <f>VLOOKUP(D139,Tableau_REF_Mesures[],2,FALSE)</f>
        <v>Service de supervision de sécurité (SOC)</v>
      </c>
      <c r="F139" s="143">
        <v>8.8235294117647065E-2</v>
      </c>
      <c r="G139" s="143">
        <f>IFERROR(VLOOKUP(Tableau_REF_SMMS[[#This Row],['#MS]],Tableau_REC_Mesures[#All],6,FALSE),0)</f>
        <v>0</v>
      </c>
      <c r="H139" s="144">
        <f>IF(VLOOKUP(D139,Tableau_REF_Mesures[],3,FALSE)="OUI",F139+(F139*G139),0)</f>
        <v>8.8235294117647065E-2</v>
      </c>
      <c r="I139" s="79">
        <f>VLOOKUP(D139,Tableau_REF_Mesures[],8,FALSE)*H139/IF(VLOOKUP(D139,Tableau_REF_Mesures[],6,FALSE)&gt;0,VLOOKUP(D139,Tableau_REF_Mesures[],6,FALSE),1)</f>
        <v>2781.1224964157923</v>
      </c>
    </row>
    <row r="140" spans="1:13" x14ac:dyDescent="0.2">
      <c r="A140" s="65" t="s">
        <v>66</v>
      </c>
      <c r="B140" s="39" t="str">
        <f>VLOOKUP(A140,Tableau_REF_Risques[],2,FALSE)</f>
        <v>Contournement des mécanismes de contrôle afin d'effectuer une élévation de privilèges</v>
      </c>
      <c r="C140" s="39">
        <f>_xlfn.MAXIFS(Tableau_REF_SMSR[Vrais Retenue],Tableau_REF_SMSR['#SM],Tableau_REF_SMMS[[#This Row],['#SM]])</f>
        <v>3</v>
      </c>
      <c r="D140" s="66" t="s">
        <v>283</v>
      </c>
      <c r="E140" s="39" t="str">
        <f>VLOOKUP(D140,Tableau_REF_Mesures[],2,FALSE)</f>
        <v>Service de gestion des solutions de sécurité</v>
      </c>
      <c r="F140" s="143">
        <v>8.8235294117647065E-2</v>
      </c>
      <c r="G140" s="143">
        <f>IFERROR(VLOOKUP(Tableau_REF_SMMS[[#This Row],['#MS]],Tableau_REC_Mesures[#All],6,FALSE),0)</f>
        <v>0</v>
      </c>
      <c r="H140" s="144">
        <f>IF(VLOOKUP(D140,Tableau_REF_Mesures[],3,FALSE)="OUI",F140+(F140*G140),0)</f>
        <v>8.8235294117647065E-2</v>
      </c>
      <c r="I140" s="79"/>
    </row>
    <row r="141" spans="1:13" x14ac:dyDescent="0.2">
      <c r="A141" s="65" t="s">
        <v>66</v>
      </c>
      <c r="B141" s="39" t="str">
        <f>VLOOKUP(A141,Tableau_REF_Risques[],2,FALSE)</f>
        <v>Contournement des mécanismes de contrôle afin d'effectuer une élévation de privilèges</v>
      </c>
      <c r="C141" s="39">
        <f>_xlfn.MAXIFS(Tableau_REF_SMSR[Vrais Retenue],Tableau_REF_SMSR['#SM],Tableau_REF_SMMS[[#This Row],['#SM]])</f>
        <v>3</v>
      </c>
      <c r="D141" s="66" t="s">
        <v>286</v>
      </c>
      <c r="E141" s="39" t="str">
        <f>VLOOKUP(D141,Tableau_REF_Mesures[],2,FALSE)</f>
        <v>Service d'audit SSI</v>
      </c>
      <c r="F141" s="143">
        <v>0.14705882352941177</v>
      </c>
      <c r="G141" s="143">
        <f>IFERROR(VLOOKUP(Tableau_REF_SMMS[[#This Row],['#MS]],Tableau_REC_Mesures[#All],6,FALSE),0)</f>
        <v>0</v>
      </c>
      <c r="H141" s="144">
        <f>IF(VLOOKUP(D141,Tableau_REF_Mesures[],3,FALSE)="OUI",F141+(F141*G141),0)</f>
        <v>0.14705882352941177</v>
      </c>
      <c r="I141" s="79">
        <f>VLOOKUP(D141,Tableau_REF_Mesures[],8,FALSE)*H141/IF(VLOOKUP(D141,Tableau_REF_Mesures[],6,FALSE)&gt;0,VLOOKUP(D141,Tableau_REF_Mesures[],6,FALSE),1)</f>
        <v>7954.8918989564054</v>
      </c>
    </row>
    <row r="142" spans="1:13" x14ac:dyDescent="0.2">
      <c r="A142" s="65" t="s">
        <v>65</v>
      </c>
      <c r="B142" s="39" t="str">
        <f>VLOOKUP(A142,Tableau_REF_Risques[],2,FALSE)</f>
        <v>Installation de composants illégitimes au sein du navigateur Web</v>
      </c>
      <c r="C142" s="39">
        <f>_xlfn.MAXIFS(Tableau_REF_SMSR[Vrais Retenue],Tableau_REF_SMSR['#SM],Tableau_REF_SMMS[[#This Row],['#SM]])</f>
        <v>4</v>
      </c>
      <c r="D142" s="66" t="s">
        <v>243</v>
      </c>
      <c r="E142" s="39" t="str">
        <f>VLOOKUP(D142,Tableau_REF_Mesures[],2,FALSE)</f>
        <v>Solution de pare-feu (intermédiaire)</v>
      </c>
      <c r="F142" s="143">
        <v>7.3529411764705885E-2</v>
      </c>
      <c r="G142" s="143">
        <f>IFERROR(VLOOKUP(Tableau_REF_SMMS[[#This Row],['#MS]],Tableau_REC_Mesures[#All],6,FALSE),0)</f>
        <v>0</v>
      </c>
      <c r="H142" s="144">
        <f>IF(VLOOKUP(D142,Tableau_REF_Mesures[],3,FALSE)="OUI",F142+(F142*G142),0)</f>
        <v>0</v>
      </c>
      <c r="I142" s="79">
        <f>VLOOKUP(D142,Tableau_REF_Mesures[],8,FALSE)*H142/IF(VLOOKUP(D142,Tableau_REF_Mesures[],6,FALSE)&gt;0,VLOOKUP(D142,Tableau_REF_Mesures[],6,FALSE),1)</f>
        <v>0</v>
      </c>
    </row>
    <row r="143" spans="1:13" x14ac:dyDescent="0.2">
      <c r="A143" s="65" t="s">
        <v>65</v>
      </c>
      <c r="B143" s="39" t="str">
        <f>VLOOKUP(A143,Tableau_REF_Risques[],2,FALSE)</f>
        <v>Installation de composants illégitimes au sein du navigateur Web</v>
      </c>
      <c r="C143" s="39">
        <f>_xlfn.MAXIFS(Tableau_REF_SMSR[Vrais Retenue],Tableau_REF_SMSR['#SM],Tableau_REF_SMMS[[#This Row],['#SM]])</f>
        <v>4</v>
      </c>
      <c r="D143" s="66" t="s">
        <v>245</v>
      </c>
      <c r="E143" s="39" t="str">
        <f>VLOOKUP(D143,Tableau_REF_Mesures[],2,FALSE)</f>
        <v>Solution de pare-feu (avancé)</v>
      </c>
      <c r="F143" s="143">
        <v>0.20588235294117646</v>
      </c>
      <c r="G143" s="143">
        <f>IFERROR(VLOOKUP(Tableau_REF_SMMS[[#This Row],['#MS]],Tableau_REC_Mesures[#All],6,FALSE),0)</f>
        <v>0</v>
      </c>
      <c r="H143" s="144">
        <f>IF(VLOOKUP(D143,Tableau_REF_Mesures[],3,FALSE)="OUI",F143+(F143*G143),0)</f>
        <v>0.20588235294117646</v>
      </c>
      <c r="I143" s="79">
        <f>VLOOKUP(D143,Tableau_REF_Mesures[],8,FALSE)*H143/IF(VLOOKUP(D143,Tableau_REF_Mesures[],6,FALSE)&gt;0,VLOOKUP(D143,Tableau_REF_Mesures[],6,FALSE),1)</f>
        <v>2690.1874662250207</v>
      </c>
    </row>
    <row r="144" spans="1:13" x14ac:dyDescent="0.2">
      <c r="A144" s="65" t="s">
        <v>65</v>
      </c>
      <c r="B144" s="39" t="str">
        <f>VLOOKUP(A144,Tableau_REF_Risques[],2,FALSE)</f>
        <v>Installation de composants illégitimes au sein du navigateur Web</v>
      </c>
      <c r="C144" s="39">
        <f>_xlfn.MAXIFS(Tableau_REF_SMSR[Vrais Retenue],Tableau_REF_SMSR['#SM],Tableau_REF_SMMS[[#This Row],['#SM]])</f>
        <v>4</v>
      </c>
      <c r="D144" s="66" t="s">
        <v>250</v>
      </c>
      <c r="E144" s="39" t="str">
        <f>VLOOKUP(D144,Tableau_REF_Mesures[],2,FALSE)</f>
        <v>Solution Proxy / Web Gateway (élémentaire)</v>
      </c>
      <c r="F144" s="143">
        <v>1.4705882352941178E-2</v>
      </c>
      <c r="G144" s="143">
        <f>IFERROR(VLOOKUP(Tableau_REF_SMMS[[#This Row],['#MS]],Tableau_REC_Mesures[#All],6,FALSE),0)</f>
        <v>1</v>
      </c>
      <c r="H144" s="144">
        <f>IF(VLOOKUP(D144,Tableau_REF_Mesures[],3,FALSE)="OUI",F144+(F144*G144),0)</f>
        <v>0</v>
      </c>
      <c r="I144" s="79">
        <f>VLOOKUP(D144,Tableau_REF_Mesures[],8,FALSE)*H144/IF(VLOOKUP(D144,Tableau_REF_Mesures[],6,FALSE)&gt;0,VLOOKUP(D144,Tableau_REF_Mesures[],6,FALSE),1)</f>
        <v>0</v>
      </c>
    </row>
    <row r="145" spans="1:9" x14ac:dyDescent="0.2">
      <c r="A145" s="65" t="s">
        <v>65</v>
      </c>
      <c r="B145" s="39" t="str">
        <f>VLOOKUP(A145,Tableau_REF_Risques[],2,FALSE)</f>
        <v>Installation de composants illégitimes au sein du navigateur Web</v>
      </c>
      <c r="C145" s="39">
        <f>_xlfn.MAXIFS(Tableau_REF_SMSR[Vrais Retenue],Tableau_REF_SMSR['#SM],Tableau_REF_SMMS[[#This Row],['#SM]])</f>
        <v>4</v>
      </c>
      <c r="D145" s="66" t="s">
        <v>252</v>
      </c>
      <c r="E145" s="39" t="str">
        <f>VLOOKUP(D145,Tableau_REF_Mesures[],2,FALSE)</f>
        <v>Solution Proxy / Web Gateway (intermédiaire)</v>
      </c>
      <c r="F145" s="143">
        <v>8.8235294117647065E-2</v>
      </c>
      <c r="G145" s="143">
        <f>IFERROR(VLOOKUP(Tableau_REF_SMMS[[#This Row],['#MS]],Tableau_REC_Mesures[#All],6,FALSE),0)</f>
        <v>1</v>
      </c>
      <c r="H145" s="144">
        <f>IF(VLOOKUP(D145,Tableau_REF_Mesures[],3,FALSE)="OUI",F145+(F145*G145),0)</f>
        <v>0.17647058823529413</v>
      </c>
      <c r="I145" s="79">
        <f>VLOOKUP(D145,Tableau_REF_Mesures[],8,FALSE)*H145/IF(VLOOKUP(D145,Tableau_REF_Mesures[],6,FALSE)&gt;0,VLOOKUP(D145,Tableau_REF_Mesures[],6,FALSE),1)</f>
        <v>3644.1702446954855</v>
      </c>
    </row>
    <row r="146" spans="1:9" x14ac:dyDescent="0.2">
      <c r="A146" s="65" t="s">
        <v>65</v>
      </c>
      <c r="B146" s="39" t="str">
        <f>VLOOKUP(A146,Tableau_REF_Risques[],2,FALSE)</f>
        <v>Installation de composants illégitimes au sein du navigateur Web</v>
      </c>
      <c r="C146" s="39">
        <f>_xlfn.MAXIFS(Tableau_REF_SMSR[Vrais Retenue],Tableau_REF_SMSR['#SM],Tableau_REF_SMMS[[#This Row],['#SM]])</f>
        <v>4</v>
      </c>
      <c r="D146" s="66" t="s">
        <v>254</v>
      </c>
      <c r="E146" s="39" t="str">
        <f>VLOOKUP(D146,Tableau_REF_Mesures[],2,FALSE)</f>
        <v>Solution Proxy / Web Gateway (avancé)</v>
      </c>
      <c r="F146" s="143">
        <v>0.22058823529411764</v>
      </c>
      <c r="G146" s="143">
        <f>IFERROR(VLOOKUP(Tableau_REF_SMMS[[#This Row],['#MS]],Tableau_REC_Mesures[#All],6,FALSE),0)</f>
        <v>0.9</v>
      </c>
      <c r="H146" s="144">
        <f>IF(VLOOKUP(D146,Tableau_REF_Mesures[],3,FALSE)="OUI",F146+(F146*G146),0)</f>
        <v>0</v>
      </c>
      <c r="I146" s="79">
        <f>VLOOKUP(D146,Tableau_REF_Mesures[],8,FALSE)*H146/IF(VLOOKUP(D146,Tableau_REF_Mesures[],6,FALSE)&gt;0,VLOOKUP(D146,Tableau_REF_Mesures[],6,FALSE),1)</f>
        <v>0</v>
      </c>
    </row>
    <row r="147" spans="1:9" x14ac:dyDescent="0.2">
      <c r="A147" s="65" t="s">
        <v>65</v>
      </c>
      <c r="B147" s="39" t="str">
        <f>VLOOKUP(A147,Tableau_REF_Risques[],2,FALSE)</f>
        <v>Installation de composants illégitimes au sein du navigateur Web</v>
      </c>
      <c r="C147" s="39">
        <f>_xlfn.MAXIFS(Tableau_REF_SMSR[Vrais Retenue],Tableau_REF_SMSR['#SM],Tableau_REF_SMMS[[#This Row],['#SM]])</f>
        <v>4</v>
      </c>
      <c r="D147" s="66" t="s">
        <v>271</v>
      </c>
      <c r="E147" s="39" t="str">
        <f>VLOOKUP(D147,Tableau_REF_Mesures[],2,FALSE)</f>
        <v>Solution de gestion des terminaux (MDM)</v>
      </c>
      <c r="F147" s="143">
        <v>7.3529411764705885E-2</v>
      </c>
      <c r="G147" s="143">
        <f>IFERROR(VLOOKUP(Tableau_REF_SMMS[[#This Row],['#MS]],Tableau_REC_Mesures[#All],6,FALSE),0)</f>
        <v>0</v>
      </c>
      <c r="H147" s="144">
        <f>IF(VLOOKUP(D147,Tableau_REF_Mesures[],3,FALSE)="OUI",F147+(F147*G147),0)</f>
        <v>7.3529411764705885E-2</v>
      </c>
      <c r="I147" s="79">
        <f>VLOOKUP(D147,Tableau_REF_Mesures[],8,FALSE)*H147/IF(VLOOKUP(D147,Tableau_REF_Mesures[],6,FALSE)&gt;0,VLOOKUP(D147,Tableau_REF_Mesures[],6,FALSE),1)</f>
        <v>6100.2039775624671</v>
      </c>
    </row>
    <row r="148" spans="1:9" x14ac:dyDescent="0.2">
      <c r="A148" s="65" t="s">
        <v>65</v>
      </c>
      <c r="B148" s="39" t="str">
        <f>VLOOKUP(A148,Tableau_REF_Risques[],2,FALSE)</f>
        <v>Installation de composants illégitimes au sein du navigateur Web</v>
      </c>
      <c r="C148" s="39">
        <f>_xlfn.MAXIFS(Tableau_REF_SMSR[Vrais Retenue],Tableau_REF_SMSR['#SM],Tableau_REF_SMMS[[#This Row],['#SM]])</f>
        <v>4</v>
      </c>
      <c r="D148" s="66" t="s">
        <v>272</v>
      </c>
      <c r="E148" s="39" t="str">
        <f>VLOOKUP(D148,Tableau_REF_Mesures[],2,FALSE)</f>
        <v>Solution de protection des terminaux (Antimalware basique)</v>
      </c>
      <c r="F148" s="143">
        <v>2.9411764705882356E-2</v>
      </c>
      <c r="G148" s="143">
        <f>IFERROR(VLOOKUP(Tableau_REF_SMMS[[#This Row],['#MS]],Tableau_REC_Mesures[#All],6,FALSE),0)</f>
        <v>0</v>
      </c>
      <c r="H148" s="144">
        <f>IF(VLOOKUP(D148,Tableau_REF_Mesures[],3,FALSE)="OUI",F148+(F148*G148),0)</f>
        <v>0</v>
      </c>
      <c r="I148" s="79">
        <f>VLOOKUP(D148,Tableau_REF_Mesures[],8,FALSE)*H148/IF(VLOOKUP(D148,Tableau_REF_Mesures[],6,FALSE)&gt;0,VLOOKUP(D148,Tableau_REF_Mesures[],6,FALSE),1)</f>
        <v>0</v>
      </c>
    </row>
    <row r="149" spans="1:9" x14ac:dyDescent="0.2">
      <c r="A149" s="65" t="s">
        <v>65</v>
      </c>
      <c r="B149" s="39" t="str">
        <f>VLOOKUP(A149,Tableau_REF_Risques[],2,FALSE)</f>
        <v>Installation de composants illégitimes au sein du navigateur Web</v>
      </c>
      <c r="C149" s="39">
        <f>_xlfn.MAXIFS(Tableau_REF_SMSR[Vrais Retenue],Tableau_REF_SMSR['#SM],Tableau_REF_SMMS[[#This Row],['#SM]])</f>
        <v>4</v>
      </c>
      <c r="D149" s="66" t="s">
        <v>273</v>
      </c>
      <c r="E149" s="39" t="str">
        <f>VLOOKUP(D149,Tableau_REF_Mesures[],2,FALSE)</f>
        <v>Solution de protection des terminaux (EDR)</v>
      </c>
      <c r="F149" s="143">
        <v>0.14705882352941177</v>
      </c>
      <c r="G149" s="143">
        <f>IFERROR(VLOOKUP(Tableau_REF_SMMS[[#This Row],['#MS]],Tableau_REC_Mesures[#All],6,FALSE),0)</f>
        <v>0</v>
      </c>
      <c r="H149" s="144">
        <f>IF(VLOOKUP(D149,Tableau_REF_Mesures[],3,FALSE)="OUI",F149+(F149*G149),0)</f>
        <v>0.14705882352941177</v>
      </c>
      <c r="I149" s="79">
        <f>VLOOKUP(D149,Tableau_REF_Mesures[],8,FALSE)*H149/IF(VLOOKUP(D149,Tableau_REF_Mesures[],6,FALSE)&gt;0,VLOOKUP(D149,Tableau_REF_Mesures[],6,FALSE),1)</f>
        <v>2358.2852641082382</v>
      </c>
    </row>
    <row r="150" spans="1:9" x14ac:dyDescent="0.2">
      <c r="A150" s="65" t="s">
        <v>65</v>
      </c>
      <c r="B150" s="39" t="str">
        <f>VLOOKUP(A150,Tableau_REF_Risques[],2,FALSE)</f>
        <v>Installation de composants illégitimes au sein du navigateur Web</v>
      </c>
      <c r="C150" s="39">
        <f>_xlfn.MAXIFS(Tableau_REF_SMSR[Vrais Retenue],Tableau_REF_SMSR['#SM],Tableau_REF_SMMS[[#This Row],['#SM]])</f>
        <v>4</v>
      </c>
      <c r="D150" s="66" t="s">
        <v>275</v>
      </c>
      <c r="E150" s="39" t="str">
        <f>VLOOKUP(D150,Tableau_REF_Mesures[],2,FALSE)</f>
        <v>Solution de gestion des comptes à privilèges (PAM)</v>
      </c>
      <c r="F150" s="143">
        <v>7.3529411764705885E-2</v>
      </c>
      <c r="G150" s="143">
        <f>IFERROR(VLOOKUP(Tableau_REF_SMMS[[#This Row],['#MS]],Tableau_REC_Mesures[#All],6,FALSE),0)</f>
        <v>0</v>
      </c>
      <c r="H150" s="144">
        <f>IF(VLOOKUP(D150,Tableau_REF_Mesures[],3,FALSE)="OUI",F150+(F150*G150),0)</f>
        <v>7.3529411764705885E-2</v>
      </c>
      <c r="I150" s="79">
        <f>VLOOKUP(D150,Tableau_REF_Mesures[],8,FALSE)*H150/IF(VLOOKUP(D150,Tableau_REF_Mesures[],6,FALSE)&gt;0,VLOOKUP(D150,Tableau_REF_Mesures[],6,FALSE),1)</f>
        <v>7321.4140593254779</v>
      </c>
    </row>
    <row r="151" spans="1:9" x14ac:dyDescent="0.2">
      <c r="A151" s="65" t="s">
        <v>65</v>
      </c>
      <c r="B151" s="39" t="str">
        <f>VLOOKUP(A151,Tableau_REF_Risques[],2,FALSE)</f>
        <v>Installation de composants illégitimes au sein du navigateur Web</v>
      </c>
      <c r="C151" s="39">
        <f>_xlfn.MAXIFS(Tableau_REF_SMSR[Vrais Retenue],Tableau_REF_SMSR['#SM],Tableau_REF_SMMS[[#This Row],['#SM]])</f>
        <v>4</v>
      </c>
      <c r="D151" s="66" t="s">
        <v>278</v>
      </c>
      <c r="E151" s="39" t="str">
        <f>VLOOKUP(D151,Tableau_REF_Mesures[],2,FALSE)</f>
        <v>Solution de collecte et de traitement des événements (SIEM)</v>
      </c>
      <c r="F151" s="143">
        <v>2.9411764705882356E-2</v>
      </c>
      <c r="G151" s="143">
        <f>IFERROR(VLOOKUP(Tableau_REF_SMMS[[#This Row],['#MS]],Tableau_REC_Mesures[#All],6,FALSE),0)</f>
        <v>0</v>
      </c>
      <c r="H151" s="144">
        <f>IF(VLOOKUP(D151,Tableau_REF_Mesures[],3,FALSE)="OUI",F151+(F151*G151),0)</f>
        <v>2.9411764705882356E-2</v>
      </c>
      <c r="I151" s="79">
        <f>VLOOKUP(D151,Tableau_REF_Mesures[],8,FALSE)*H151/IF(VLOOKUP(D151,Tableau_REF_Mesures[],6,FALSE)&gt;0,VLOOKUP(D151,Tableau_REF_Mesures[],6,FALSE),1)</f>
        <v>116.34562884761128</v>
      </c>
    </row>
    <row r="152" spans="1:9" x14ac:dyDescent="0.2">
      <c r="A152" s="65" t="s">
        <v>65</v>
      </c>
      <c r="B152" s="39" t="str">
        <f>VLOOKUP(A152,Tableau_REF_Risques[],2,FALSE)</f>
        <v>Installation de composants illégitimes au sein du navigateur Web</v>
      </c>
      <c r="C152" s="39">
        <f>_xlfn.MAXIFS(Tableau_REF_SMSR[Vrais Retenue],Tableau_REF_SMSR['#SM],Tableau_REF_SMMS[[#This Row],['#SM]])</f>
        <v>4</v>
      </c>
      <c r="D152" s="66" t="s">
        <v>279</v>
      </c>
      <c r="E152" s="39" t="str">
        <f>VLOOKUP(D152,Tableau_REF_Mesures[],2,FALSE)</f>
        <v>Solution de contrôle de configuration technique (ex Puppet,Ansible)</v>
      </c>
      <c r="F152" s="143">
        <v>7.3529411764705885E-2</v>
      </c>
      <c r="G152" s="143">
        <f>IFERROR(VLOOKUP(Tableau_REF_SMMS[[#This Row],['#MS]],Tableau_REC_Mesures[#All],6,FALSE),0)</f>
        <v>0</v>
      </c>
      <c r="H152" s="144">
        <f>IF(VLOOKUP(D152,Tableau_REF_Mesures[],3,FALSE)="OUI",F152+(F152*G152),0)</f>
        <v>7.3529411764705885E-2</v>
      </c>
      <c r="I152" s="79">
        <f>VLOOKUP(D152,Tableau_REF_Mesures[],8,FALSE)*H152/IF(VLOOKUP(D152,Tableau_REF_Mesures[],6,FALSE)&gt;0,VLOOKUP(D152,Tableau_REF_Mesures[],6,FALSE),1)</f>
        <v>2047.8271488798441</v>
      </c>
    </row>
    <row r="153" spans="1:9" x14ac:dyDescent="0.2">
      <c r="A153" s="65" t="s">
        <v>65</v>
      </c>
      <c r="B153" s="39" t="str">
        <f>VLOOKUP(A153,Tableau_REF_Risques[],2,FALSE)</f>
        <v>Installation de composants illégitimes au sein du navigateur Web</v>
      </c>
      <c r="C153" s="39">
        <f>_xlfn.MAXIFS(Tableau_REF_SMSR[Vrais Retenue],Tableau_REF_SMSR['#SM],Tableau_REF_SMMS[[#This Row],['#SM]])</f>
        <v>4</v>
      </c>
      <c r="D153" s="66" t="s">
        <v>282</v>
      </c>
      <c r="E153" s="39" t="str">
        <f>VLOOKUP(D153,Tableau_REF_Mesures[],2,FALSE)</f>
        <v>Service de supervision de sécurité (SOC)</v>
      </c>
      <c r="F153" s="143">
        <v>4.4117647058823532E-2</v>
      </c>
      <c r="G153" s="143">
        <f>IFERROR(VLOOKUP(Tableau_REF_SMMS[[#This Row],['#MS]],Tableau_REC_Mesures[#All],6,FALSE),0)</f>
        <v>0</v>
      </c>
      <c r="H153" s="144">
        <f>IF(VLOOKUP(D153,Tableau_REF_Mesures[],3,FALSE)="OUI",F153+(F153*G153),0)</f>
        <v>4.4117647058823532E-2</v>
      </c>
      <c r="I153" s="79">
        <f>VLOOKUP(D153,Tableau_REF_Mesures[],8,FALSE)*H153/IF(VLOOKUP(D153,Tableau_REF_Mesures[],6,FALSE)&gt;0,VLOOKUP(D153,Tableau_REF_Mesures[],6,FALSE),1)</f>
        <v>1390.5612482078961</v>
      </c>
    </row>
    <row r="154" spans="1:9" x14ac:dyDescent="0.2">
      <c r="A154" s="65" t="s">
        <v>65</v>
      </c>
      <c r="B154" s="39" t="str">
        <f>VLOOKUP(A154,Tableau_REF_Risques[],2,FALSE)</f>
        <v>Installation de composants illégitimes au sein du navigateur Web</v>
      </c>
      <c r="C154" s="39">
        <f>_xlfn.MAXIFS(Tableau_REF_SMSR[Vrais Retenue],Tableau_REF_SMSR['#SM],Tableau_REF_SMMS[[#This Row],['#SM]])</f>
        <v>4</v>
      </c>
      <c r="D154" s="66" t="s">
        <v>283</v>
      </c>
      <c r="E154" s="39" t="str">
        <f>VLOOKUP(D154,Tableau_REF_Mesures[],2,FALSE)</f>
        <v>Service de gestion des solutions de sécurité</v>
      </c>
      <c r="F154" s="143">
        <v>4.4117647058823532E-2</v>
      </c>
      <c r="G154" s="143">
        <f>IFERROR(VLOOKUP(Tableau_REF_SMMS[[#This Row],['#MS]],Tableau_REC_Mesures[#All],6,FALSE),0)</f>
        <v>0</v>
      </c>
      <c r="H154" s="144">
        <f>IF(VLOOKUP(D154,Tableau_REF_Mesures[],3,FALSE)="OUI",F154+(F154*G154),0)</f>
        <v>4.4117647058823532E-2</v>
      </c>
      <c r="I154" s="79"/>
    </row>
    <row r="155" spans="1:9" x14ac:dyDescent="0.2">
      <c r="A155" s="65" t="s">
        <v>65</v>
      </c>
      <c r="B155" s="39" t="str">
        <f>VLOOKUP(A155,Tableau_REF_Risques[],2,FALSE)</f>
        <v>Installation de composants illégitimes au sein du navigateur Web</v>
      </c>
      <c r="C155" s="39">
        <f>_xlfn.MAXIFS(Tableau_REF_SMSR[Vrais Retenue],Tableau_REF_SMSR['#SM],Tableau_REF_SMMS[[#This Row],['#SM]])</f>
        <v>4</v>
      </c>
      <c r="D155" s="66" t="s">
        <v>284</v>
      </c>
      <c r="E155" s="39" t="str">
        <f>VLOOKUP(D155,Tableau_REF_Mesures[],2,FALSE)</f>
        <v>Service de Veille et de réponse à incidents (CERT/CSIRT)</v>
      </c>
      <c r="F155" s="143">
        <v>4.4117647058823532E-2</v>
      </c>
      <c r="G155" s="143">
        <f>IFERROR(VLOOKUP(Tableau_REF_SMMS[[#This Row],['#MS]],Tableau_REC_Mesures[#All],6,FALSE),0)</f>
        <v>0</v>
      </c>
      <c r="H155" s="144">
        <f>IF(VLOOKUP(D155,Tableau_REF_Mesures[],3,FALSE)="OUI",F155+(F155*G155),0)</f>
        <v>4.4117647058823532E-2</v>
      </c>
      <c r="I155" s="79">
        <f>VLOOKUP(D155,Tableau_REF_Mesures[],8,FALSE)*H155/IF(VLOOKUP(D155,Tableau_REF_Mesures[],6,FALSE)&gt;0,VLOOKUP(D155,Tableau_REF_Mesures[],6,FALSE),1)</f>
        <v>2818.1983044293597</v>
      </c>
    </row>
    <row r="156" spans="1:9" x14ac:dyDescent="0.2">
      <c r="A156" s="65" t="s">
        <v>65</v>
      </c>
      <c r="B156" s="39" t="str">
        <f>VLOOKUP(A156,Tableau_REF_Risques[],2,FALSE)</f>
        <v>Installation de composants illégitimes au sein du navigateur Web</v>
      </c>
      <c r="C156" s="39">
        <f>_xlfn.MAXIFS(Tableau_REF_SMSR[Vrais Retenue],Tableau_REF_SMSR['#SM],Tableau_REF_SMMS[[#This Row],['#SM]])</f>
        <v>4</v>
      </c>
      <c r="D156" s="66" t="s">
        <v>286</v>
      </c>
      <c r="E156" s="39" t="str">
        <f>VLOOKUP(D156,Tableau_REF_Mesures[],2,FALSE)</f>
        <v>Service d'audit SSI</v>
      </c>
      <c r="F156" s="143">
        <v>4.4117647058823532E-2</v>
      </c>
      <c r="G156" s="143">
        <f>IFERROR(VLOOKUP(Tableau_REF_SMMS[[#This Row],['#MS]],Tableau_REC_Mesures[#All],6,FALSE),0)</f>
        <v>0</v>
      </c>
      <c r="H156" s="144">
        <f>IF(VLOOKUP(D156,Tableau_REF_Mesures[],3,FALSE)="OUI",F156+(F156*G156),0)</f>
        <v>4.4117647058823532E-2</v>
      </c>
      <c r="I156" s="79">
        <f>VLOOKUP(D156,Tableau_REF_Mesures[],8,FALSE)*H156/IF(VLOOKUP(D156,Tableau_REF_Mesures[],6,FALSE)&gt;0,VLOOKUP(D156,Tableau_REF_Mesures[],6,FALSE),1)</f>
        <v>2386.4675696869217</v>
      </c>
    </row>
    <row r="157" spans="1:9" x14ac:dyDescent="0.2">
      <c r="A157" s="39" t="s">
        <v>64</v>
      </c>
      <c r="B157" s="39" t="str">
        <f>VLOOKUP(A157,Tableau_REF_Risques[],2,FALSE)</f>
        <v>Modification illégitime des comptes et droits d'accès permettant de maintenir un accès au SI</v>
      </c>
      <c r="C157" s="39">
        <f>_xlfn.MAXIFS(Tableau_REF_SMSR[Vrais Retenue],Tableau_REF_SMSR['#SM],Tableau_REF_SMMS[[#This Row],['#SM]])</f>
        <v>3</v>
      </c>
      <c r="D157" s="66" t="s">
        <v>283</v>
      </c>
      <c r="E157" s="39" t="str">
        <f>VLOOKUP(D157,Tableau_REF_Mesures[],2,FALSE)</f>
        <v>Service de gestion des solutions de sécurité</v>
      </c>
      <c r="F157" s="143">
        <v>0.125</v>
      </c>
      <c r="G157" s="143">
        <f>IFERROR(VLOOKUP(Tableau_REF_SMMS[[#This Row],['#MS]],Tableau_REC_Mesures[#All],6,FALSE),0)</f>
        <v>0</v>
      </c>
      <c r="H157" s="144">
        <f>IF(VLOOKUP(D157,Tableau_REF_Mesures[],3,FALSE)="OUI",F157+(F157*G157),0)</f>
        <v>0.125</v>
      </c>
      <c r="I157" s="79"/>
    </row>
    <row r="158" spans="1:9" x14ac:dyDescent="0.2">
      <c r="A158" s="65" t="s">
        <v>64</v>
      </c>
      <c r="B158" s="39" t="str">
        <f>VLOOKUP(A158,Tableau_REF_Risques[],2,FALSE)</f>
        <v>Modification illégitime des comptes et droits d'accès permettant de maintenir un accès au SI</v>
      </c>
      <c r="C158" s="39">
        <f>_xlfn.MAXIFS(Tableau_REF_SMSR[Vrais Retenue],Tableau_REF_SMSR['#SM],Tableau_REF_SMMS[[#This Row],['#SM]])</f>
        <v>3</v>
      </c>
      <c r="D158" s="66" t="s">
        <v>264</v>
      </c>
      <c r="E158" s="39" t="str">
        <f>VLOOKUP(D158,Tableau_REF_Mesures[],2,FALSE)</f>
        <v>Solution de gestion des identités et de contrôle d'accès</v>
      </c>
      <c r="F158" s="143">
        <v>0.2</v>
      </c>
      <c r="G158" s="143">
        <f>IFERROR(VLOOKUP(Tableau_REF_SMMS[[#This Row],['#MS]],Tableau_REC_Mesures[#All],6,FALSE),0)</f>
        <v>0</v>
      </c>
      <c r="H158" s="144">
        <f>IF(VLOOKUP(D158,Tableau_REF_Mesures[],3,FALSE)="OUI",F158+(F158*G158),0)</f>
        <v>0.2</v>
      </c>
      <c r="I158" s="79">
        <f>VLOOKUP(D158,Tableau_REF_Mesures[],8,FALSE)*H158/IF(VLOOKUP(D158,Tableau_REF_Mesures[],6,FALSE)&gt;0,VLOOKUP(D158,Tableau_REF_Mesures[],6,FALSE),1)</f>
        <v>11639.518490402343</v>
      </c>
    </row>
    <row r="159" spans="1:9" x14ac:dyDescent="0.2">
      <c r="A159" s="65" t="s">
        <v>64</v>
      </c>
      <c r="B159" s="39" t="str">
        <f>VLOOKUP(A159,Tableau_REF_Risques[],2,FALSE)</f>
        <v>Modification illégitime des comptes et droits d'accès permettant de maintenir un accès au SI</v>
      </c>
      <c r="C159" s="39">
        <f>_xlfn.MAXIFS(Tableau_REF_SMSR[Vrais Retenue],Tableau_REF_SMSR['#SM],Tableau_REF_SMMS[[#This Row],['#SM]])</f>
        <v>3</v>
      </c>
      <c r="D159" s="66" t="s">
        <v>275</v>
      </c>
      <c r="E159" s="39" t="str">
        <f>VLOOKUP(D159,Tableau_REF_Mesures[],2,FALSE)</f>
        <v>Solution de gestion des comptes à privilèges (PAM)</v>
      </c>
      <c r="F159" s="143">
        <v>0.125</v>
      </c>
      <c r="G159" s="143">
        <f>IFERROR(VLOOKUP(Tableau_REF_SMMS[[#This Row],['#MS]],Tableau_REC_Mesures[#All],6,FALSE),0)</f>
        <v>0</v>
      </c>
      <c r="H159" s="144">
        <f>IF(VLOOKUP(D159,Tableau_REF_Mesures[],3,FALSE)="OUI",F159+(F159*G159),0)</f>
        <v>0.125</v>
      </c>
      <c r="I159" s="79">
        <f>VLOOKUP(D159,Tableau_REF_Mesures[],8,FALSE)*H159/IF(VLOOKUP(D159,Tableau_REF_Mesures[],6,FALSE)&gt;0,VLOOKUP(D159,Tableau_REF_Mesures[],6,FALSE),1)</f>
        <v>12446.403900853311</v>
      </c>
    </row>
    <row r="160" spans="1:9" x14ac:dyDescent="0.2">
      <c r="A160" s="65" t="s">
        <v>64</v>
      </c>
      <c r="B160" s="39" t="str">
        <f>VLOOKUP(A160,Tableau_REF_Risques[],2,FALSE)</f>
        <v>Modification illégitime des comptes et droits d'accès permettant de maintenir un accès au SI</v>
      </c>
      <c r="C160" s="39">
        <f>_xlfn.MAXIFS(Tableau_REF_SMSR[Vrais Retenue],Tableau_REF_SMSR['#SM],Tableau_REF_SMMS[[#This Row],['#SM]])</f>
        <v>3</v>
      </c>
      <c r="D160" s="66" t="s">
        <v>278</v>
      </c>
      <c r="E160" s="39" t="str">
        <f>VLOOKUP(D160,Tableau_REF_Mesures[],2,FALSE)</f>
        <v>Solution de collecte et de traitement des événements (SIEM)</v>
      </c>
      <c r="F160" s="143">
        <v>0.05</v>
      </c>
      <c r="G160" s="143">
        <f>IFERROR(VLOOKUP(Tableau_REF_SMMS[[#This Row],['#MS]],Tableau_REC_Mesures[#All],6,FALSE),0)</f>
        <v>0</v>
      </c>
      <c r="H160" s="144">
        <f>IF(VLOOKUP(D160,Tableau_REF_Mesures[],3,FALSE)="OUI",F160+(F160*G160),0)</f>
        <v>0.05</v>
      </c>
      <c r="I160" s="79">
        <f>VLOOKUP(D160,Tableau_REF_Mesures[],8,FALSE)*H160/IF(VLOOKUP(D160,Tableau_REF_Mesures[],6,FALSE)&gt;0,VLOOKUP(D160,Tableau_REF_Mesures[],6,FALSE),1)</f>
        <v>197.78756904093916</v>
      </c>
    </row>
    <row r="161" spans="1:10" x14ac:dyDescent="0.2">
      <c r="A161" s="65" t="s">
        <v>64</v>
      </c>
      <c r="B161" s="39" t="str">
        <f>VLOOKUP(A161,Tableau_REF_Risques[],2,FALSE)</f>
        <v>Modification illégitime des comptes et droits d'accès permettant de maintenir un accès au SI</v>
      </c>
      <c r="C161" s="39">
        <f>_xlfn.MAXIFS(Tableau_REF_SMSR[Vrais Retenue],Tableau_REF_SMSR['#SM],Tableau_REF_SMMS[[#This Row],['#SM]])</f>
        <v>3</v>
      </c>
      <c r="D161" s="66" t="s">
        <v>282</v>
      </c>
      <c r="E161" s="39" t="str">
        <f>VLOOKUP(D161,Tableau_REF_Mesures[],2,FALSE)</f>
        <v>Service de supervision de sécurité (SOC)</v>
      </c>
      <c r="F161" s="143">
        <v>7.4999999999999997E-2</v>
      </c>
      <c r="G161" s="143">
        <f>IFERROR(VLOOKUP(Tableau_REF_SMMS[[#This Row],['#MS]],Tableau_REC_Mesures[#All],6,FALSE),0)</f>
        <v>0</v>
      </c>
      <c r="H161" s="144">
        <f>IF(VLOOKUP(D161,Tableau_REF_Mesures[],3,FALSE)="OUI",F161+(F161*G161),0)</f>
        <v>7.4999999999999997E-2</v>
      </c>
      <c r="I161" s="79">
        <f>VLOOKUP(D161,Tableau_REF_Mesures[],8,FALSE)*H161/IF(VLOOKUP(D161,Tableau_REF_Mesures[],6,FALSE)&gt;0,VLOOKUP(D161,Tableau_REF_Mesures[],6,FALSE),1)</f>
        <v>2363.9541219534235</v>
      </c>
    </row>
    <row r="162" spans="1:10" x14ac:dyDescent="0.2">
      <c r="A162" s="65" t="s">
        <v>64</v>
      </c>
      <c r="B162" s="39" t="str">
        <f>VLOOKUP(A162,Tableau_REF_Risques[],2,FALSE)</f>
        <v>Modification illégitime des comptes et droits d'accès permettant de maintenir un accès au SI</v>
      </c>
      <c r="C162" s="39">
        <f>_xlfn.MAXIFS(Tableau_REF_SMSR[Vrais Retenue],Tableau_REF_SMSR['#SM],Tableau_REF_SMMS[[#This Row],['#SM]])</f>
        <v>3</v>
      </c>
      <c r="D162" s="66" t="s">
        <v>283</v>
      </c>
      <c r="E162" s="39" t="str">
        <f>VLOOKUP(D162,Tableau_REF_Mesures[],2,FALSE)</f>
        <v>Service de gestion des solutions de sécurité</v>
      </c>
      <c r="F162" s="143">
        <v>7.4999999999999997E-2</v>
      </c>
      <c r="G162" s="143">
        <f>IFERROR(VLOOKUP(Tableau_REF_SMMS[[#This Row],['#MS]],Tableau_REC_Mesures[#All],6,FALSE),0)</f>
        <v>0</v>
      </c>
      <c r="H162" s="144">
        <f>IF(VLOOKUP(D162,Tableau_REF_Mesures[],3,FALSE)="OUI",F162+(F162*G162),0)</f>
        <v>7.4999999999999997E-2</v>
      </c>
      <c r="I162" s="79"/>
    </row>
    <row r="163" spans="1:10" x14ac:dyDescent="0.2">
      <c r="A163" s="65" t="s">
        <v>64</v>
      </c>
      <c r="B163" s="39" t="str">
        <f>VLOOKUP(A163,Tableau_REF_Risques[],2,FALSE)</f>
        <v>Modification illégitime des comptes et droits d'accès permettant de maintenir un accès au SI</v>
      </c>
      <c r="C163" s="39">
        <f>_xlfn.MAXIFS(Tableau_REF_SMSR[Vrais Retenue],Tableau_REF_SMSR['#SM],Tableau_REF_SMMS[[#This Row],['#SM]])</f>
        <v>3</v>
      </c>
      <c r="D163" s="66" t="s">
        <v>284</v>
      </c>
      <c r="E163" s="39" t="str">
        <f>VLOOKUP(D163,Tableau_REF_Mesures[],2,FALSE)</f>
        <v>Service de Veille et de réponse à incidents (CERT/CSIRT)</v>
      </c>
      <c r="F163" s="143">
        <v>7.4999999999999997E-2</v>
      </c>
      <c r="G163" s="143">
        <f>IFERROR(VLOOKUP(Tableau_REF_SMMS[[#This Row],['#MS]],Tableau_REC_Mesures[#All],6,FALSE),0)</f>
        <v>0</v>
      </c>
      <c r="H163" s="144">
        <f>IF(VLOOKUP(D163,Tableau_REF_Mesures[],3,FALSE)="OUI",F163+(F163*G163),0)</f>
        <v>7.4999999999999997E-2</v>
      </c>
      <c r="I163" s="79">
        <f>VLOOKUP(D163,Tableau_REF_Mesures[],8,FALSE)*H163/IF(VLOOKUP(D163,Tableau_REF_Mesures[],6,FALSE)&gt;0,VLOOKUP(D163,Tableau_REF_Mesures[],6,FALSE),1)</f>
        <v>4790.937117529912</v>
      </c>
    </row>
    <row r="164" spans="1:10" x14ac:dyDescent="0.2">
      <c r="A164" s="65" t="s">
        <v>64</v>
      </c>
      <c r="B164" s="39" t="str">
        <f>VLOOKUP(A164,Tableau_REF_Risques[],2,FALSE)</f>
        <v>Modification illégitime des comptes et droits d'accès permettant de maintenir un accès au SI</v>
      </c>
      <c r="C164" s="39">
        <f>_xlfn.MAXIFS(Tableau_REF_SMSR[Vrais Retenue],Tableau_REF_SMSR['#SM],Tableau_REF_SMMS[[#This Row],['#SM]])</f>
        <v>3</v>
      </c>
      <c r="D164" s="66" t="s">
        <v>286</v>
      </c>
      <c r="E164" s="39" t="str">
        <f>VLOOKUP(D164,Tableau_REF_Mesures[],2,FALSE)</f>
        <v>Service d'audit SSI</v>
      </c>
      <c r="F164" s="143">
        <v>0.125</v>
      </c>
      <c r="G164" s="143">
        <f>IFERROR(VLOOKUP(Tableau_REF_SMMS[[#This Row],['#MS]],Tableau_REC_Mesures[#All],6,FALSE),0)</f>
        <v>0</v>
      </c>
      <c r="H164" s="144">
        <f>IF(VLOOKUP(D164,Tableau_REF_Mesures[],3,FALSE)="OUI",F164+(F164*G164),0)</f>
        <v>0.125</v>
      </c>
      <c r="I164" s="79">
        <f>VLOOKUP(D164,Tableau_REF_Mesures[],8,FALSE)*H164/IF(VLOOKUP(D164,Tableau_REF_Mesures[],6,FALSE)&gt;0,VLOOKUP(D164,Tableau_REF_Mesures[],6,FALSE),1)</f>
        <v>6761.6581141129445</v>
      </c>
    </row>
    <row r="165" spans="1:10" x14ac:dyDescent="0.2">
      <c r="A165" s="65" t="s">
        <v>64</v>
      </c>
      <c r="B165" s="39" t="str">
        <f>VLOOKUP(A165,Tableau_REF_Risques[],2,FALSE)</f>
        <v>Modification illégitime des comptes et droits d'accès permettant de maintenir un accès au SI</v>
      </c>
      <c r="C165" s="39">
        <f>_xlfn.MAXIFS(Tableau_REF_SMSR[Vrais Retenue],Tableau_REF_SMSR['#SM],Tableau_REF_SMMS[[#This Row],['#SM]])</f>
        <v>3</v>
      </c>
      <c r="D165" s="66" t="s">
        <v>288</v>
      </c>
      <c r="E165" s="39" t="str">
        <f>VLOOKUP(D165,Tableau_REF_Mesures[],2,FALSE)</f>
        <v>Service de gestion de la gouvernance et des risques</v>
      </c>
      <c r="F165" s="143">
        <v>0.15</v>
      </c>
      <c r="G165" s="143">
        <f>IFERROR(VLOOKUP(Tableau_REF_SMMS[[#This Row],['#MS]],Tableau_REC_Mesures[#All],6,FALSE),0)</f>
        <v>0</v>
      </c>
      <c r="H165" s="144">
        <f>IF(VLOOKUP(D165,Tableau_REF_Mesures[],3,FALSE)="OUI",F165+(F165*G165),0)</f>
        <v>0.15</v>
      </c>
      <c r="I165" s="79">
        <f>VLOOKUP(D165,Tableau_REF_Mesures[],8,FALSE)*H165/IF(VLOOKUP(D165,Tableau_REF_Mesures[],6,FALSE)&gt;0,VLOOKUP(D165,Tableau_REF_Mesures[],6,FALSE),1)</f>
        <v>15218.916190777096</v>
      </c>
    </row>
    <row r="166" spans="1:10" x14ac:dyDescent="0.2">
      <c r="A166" s="39" t="s">
        <v>63</v>
      </c>
      <c r="B166" s="39" t="str">
        <f>VLOOKUP(A166,Tableau_REF_Risques[],2,FALSE)</f>
        <v>Détournement des fonctions d'un OS pour exécuter un code malveillant (Services, Registre, Bootloader...)</v>
      </c>
      <c r="C166" s="39">
        <f>_xlfn.MAXIFS(Tableau_REF_SMSR[Vrais Retenue],Tableau_REF_SMSR['#SM],Tableau_REF_SMMS[[#This Row],['#SM]])</f>
        <v>3</v>
      </c>
      <c r="D166" s="66" t="s">
        <v>282</v>
      </c>
      <c r="E166" s="39" t="str">
        <f>VLOOKUP(D166,Tableau_REF_Mesures[],2,FALSE)</f>
        <v>Service de supervision de sécurité (SOC)</v>
      </c>
      <c r="F166" s="143">
        <v>7.1428571428571425E-2</v>
      </c>
      <c r="G166" s="143">
        <f>IFERROR(VLOOKUP(Tableau_REF_SMMS[[#This Row],['#MS]],Tableau_REC_Mesures[#All],6,FALSE),0)</f>
        <v>0</v>
      </c>
      <c r="H166" s="144">
        <f>IF(VLOOKUP(D166,Tableau_REF_Mesures[],3,FALSE)="OUI",F166+(F166*G166),0)</f>
        <v>7.1428571428571425E-2</v>
      </c>
      <c r="I166" s="79">
        <f>VLOOKUP(D166,Tableau_REF_Mesures[],8,FALSE)*H166/IF(VLOOKUP(D166,Tableau_REF_Mesures[],6,FALSE)&gt;0,VLOOKUP(D166,Tableau_REF_Mesures[],6,FALSE),1)</f>
        <v>2251.3848780508793</v>
      </c>
    </row>
    <row r="167" spans="1:10" x14ac:dyDescent="0.2">
      <c r="A167" s="65" t="s">
        <v>63</v>
      </c>
      <c r="B167" s="39" t="str">
        <f>VLOOKUP(A167,Tableau_REF_Risques[],2,FALSE)</f>
        <v>Détournement des fonctions d'un OS pour exécuter un code malveillant (Services, Registre, Bootloader...)</v>
      </c>
      <c r="C167" s="39">
        <f>_xlfn.MAXIFS(Tableau_REF_SMSR[Vrais Retenue],Tableau_REF_SMSR['#SM],Tableau_REF_SMMS[[#This Row],['#SM]])</f>
        <v>3</v>
      </c>
      <c r="D167" s="66" t="s">
        <v>272</v>
      </c>
      <c r="E167" s="39" t="str">
        <f>VLOOKUP(D167,Tableau_REF_Mesures[],2,FALSE)</f>
        <v>Solution de protection des terminaux (Antimalware basique)</v>
      </c>
      <c r="F167" s="143">
        <v>4.7619047619047616E-2</v>
      </c>
      <c r="G167" s="143">
        <f>IFERROR(VLOOKUP(Tableau_REF_SMMS[[#This Row],['#MS]],Tableau_REC_Mesures[#All],6,FALSE),0)</f>
        <v>0</v>
      </c>
      <c r="H167" s="144">
        <f>IF(VLOOKUP(D167,Tableau_REF_Mesures[],3,FALSE)="OUI",F167+(F167*G167),0)</f>
        <v>0</v>
      </c>
      <c r="I167" s="79">
        <f>VLOOKUP(D167,Tableau_REF_Mesures[],8,FALSE)*H167/IF(VLOOKUP(D167,Tableau_REF_Mesures[],6,FALSE)&gt;0,VLOOKUP(D167,Tableau_REF_Mesures[],6,FALSE),1)</f>
        <v>0</v>
      </c>
    </row>
    <row r="168" spans="1:10" x14ac:dyDescent="0.2">
      <c r="A168" s="65" t="s">
        <v>63</v>
      </c>
      <c r="B168" s="39" t="str">
        <f>VLOOKUP(A168,Tableau_REF_Risques[],2,FALSE)</f>
        <v>Détournement des fonctions d'un OS pour exécuter un code malveillant (Services, Registre, Bootloader...)</v>
      </c>
      <c r="C168" s="39">
        <f>_xlfn.MAXIFS(Tableau_REF_SMSR[Vrais Retenue],Tableau_REF_SMSR['#SM],Tableau_REF_SMMS[[#This Row],['#SM]])</f>
        <v>3</v>
      </c>
      <c r="D168" s="66" t="s">
        <v>273</v>
      </c>
      <c r="E168" s="39" t="str">
        <f>VLOOKUP(D168,Tableau_REF_Mesures[],2,FALSE)</f>
        <v>Solution de protection des terminaux (EDR)</v>
      </c>
      <c r="F168" s="143">
        <v>0.23809523809523808</v>
      </c>
      <c r="G168" s="143">
        <f>IFERROR(VLOOKUP(Tableau_REF_SMMS[[#This Row],['#MS]],Tableau_REC_Mesures[#All],6,FALSE),0)</f>
        <v>0</v>
      </c>
      <c r="H168" s="144">
        <f>IF(VLOOKUP(D168,Tableau_REF_Mesures[],3,FALSE)="OUI",F168+(F168*G168),0)</f>
        <v>0.23809523809523808</v>
      </c>
      <c r="I168" s="79">
        <f>VLOOKUP(D168,Tableau_REF_Mesures[],8,FALSE)*H168/IF(VLOOKUP(D168,Tableau_REF_Mesures[],6,FALSE)&gt;0,VLOOKUP(D168,Tableau_REF_Mesures[],6,FALSE),1)</f>
        <v>3818.1761418895276</v>
      </c>
    </row>
    <row r="169" spans="1:10" x14ac:dyDescent="0.2">
      <c r="A169" s="65" t="s">
        <v>63</v>
      </c>
      <c r="B169" s="39" t="str">
        <f>VLOOKUP(A169,Tableau_REF_Risques[],2,FALSE)</f>
        <v>Détournement des fonctions d'un OS pour exécuter un code malveillant (Services, Registre, Bootloader...)</v>
      </c>
      <c r="C169" s="39">
        <f>_xlfn.MAXIFS(Tableau_REF_SMSR[Vrais Retenue],Tableau_REF_SMSR['#SM],Tableau_REF_SMMS[[#This Row],['#SM]])</f>
        <v>3</v>
      </c>
      <c r="D169" s="66" t="s">
        <v>275</v>
      </c>
      <c r="E169" s="39" t="str">
        <f>VLOOKUP(D169,Tableau_REF_Mesures[],2,FALSE)</f>
        <v>Solution de gestion des comptes à privilèges (PAM)</v>
      </c>
      <c r="F169" s="143">
        <v>0.19047619047619047</v>
      </c>
      <c r="G169" s="143">
        <f>IFERROR(VLOOKUP(Tableau_REF_SMMS[[#This Row],['#MS]],Tableau_REC_Mesures[#All],6,FALSE),0)</f>
        <v>0</v>
      </c>
      <c r="H169" s="144">
        <f>IF(VLOOKUP(D169,Tableau_REF_Mesures[],3,FALSE)="OUI",F169+(F169*G169),0)</f>
        <v>0.19047619047619047</v>
      </c>
      <c r="I169" s="79">
        <f>VLOOKUP(D169,Tableau_REF_Mesures[],8,FALSE)*H169/IF(VLOOKUP(D169,Tableau_REF_Mesures[],6,FALSE)&gt;0,VLOOKUP(D169,Tableau_REF_Mesures[],6,FALSE),1)</f>
        <v>18965.948801300281</v>
      </c>
    </row>
    <row r="170" spans="1:10" x14ac:dyDescent="0.2">
      <c r="A170" s="65" t="s">
        <v>63</v>
      </c>
      <c r="B170" s="39" t="str">
        <f>VLOOKUP(A170,Tableau_REF_Risques[],2,FALSE)</f>
        <v>Détournement des fonctions d'un OS pour exécuter un code malveillant (Services, Registre, Bootloader...)</v>
      </c>
      <c r="C170" s="39">
        <f>_xlfn.MAXIFS(Tableau_REF_SMSR[Vrais Retenue],Tableau_REF_SMSR['#SM],Tableau_REF_SMMS[[#This Row],['#SM]])</f>
        <v>3</v>
      </c>
      <c r="D170" s="66" t="s">
        <v>278</v>
      </c>
      <c r="E170" s="39" t="str">
        <f>VLOOKUP(D170,Tableau_REF_Mesures[],2,FALSE)</f>
        <v>Solution de collecte et de traitement des événements (SIEM)</v>
      </c>
      <c r="F170" s="143">
        <v>4.7619047619047616E-2</v>
      </c>
      <c r="G170" s="143">
        <f>IFERROR(VLOOKUP(Tableau_REF_SMMS[[#This Row],['#MS]],Tableau_REC_Mesures[#All],6,FALSE),0)</f>
        <v>0</v>
      </c>
      <c r="H170" s="144">
        <f>IF(VLOOKUP(D170,Tableau_REF_Mesures[],3,FALSE)="OUI",F170+(F170*G170),0)</f>
        <v>4.7619047619047616E-2</v>
      </c>
      <c r="I170" s="79">
        <f>VLOOKUP(D170,Tableau_REF_Mesures[],8,FALSE)*H170/IF(VLOOKUP(D170,Tableau_REF_Mesures[],6,FALSE)&gt;0,VLOOKUP(D170,Tableau_REF_Mesures[],6,FALSE),1)</f>
        <v>188.369113372323</v>
      </c>
    </row>
    <row r="171" spans="1:10" x14ac:dyDescent="0.2">
      <c r="A171" s="65" t="s">
        <v>63</v>
      </c>
      <c r="B171" s="39" t="str">
        <f>VLOOKUP(A171,Tableau_REF_Risques[],2,FALSE)</f>
        <v>Détournement des fonctions d'un OS pour exécuter un code malveillant (Services, Registre, Bootloader...)</v>
      </c>
      <c r="C171" s="39">
        <f>_xlfn.MAXIFS(Tableau_REF_SMSR[Vrais Retenue],Tableau_REF_SMSR['#SM],Tableau_REF_SMMS[[#This Row],['#SM]])</f>
        <v>3</v>
      </c>
      <c r="D171" s="66" t="s">
        <v>279</v>
      </c>
      <c r="E171" s="39" t="str">
        <f>VLOOKUP(D171,Tableau_REF_Mesures[],2,FALSE)</f>
        <v>Solution de contrôle de configuration technique (ex Puppet,Ansible)</v>
      </c>
      <c r="F171" s="143">
        <v>0.11904761904761904</v>
      </c>
      <c r="G171" s="143">
        <f>IFERROR(VLOOKUP(Tableau_REF_SMMS[[#This Row],['#MS]],Tableau_REC_Mesures[#All],6,FALSE),0)</f>
        <v>0</v>
      </c>
      <c r="H171" s="144">
        <f>IF(VLOOKUP(D171,Tableau_REF_Mesures[],3,FALSE)="OUI",F171+(F171*G171),0)</f>
        <v>0.11904761904761904</v>
      </c>
      <c r="I171" s="79">
        <f>VLOOKUP(D171,Tableau_REF_Mesures[],8,FALSE)*H171/IF(VLOOKUP(D171,Tableau_REF_Mesures[],6,FALSE)&gt;0,VLOOKUP(D171,Tableau_REF_Mesures[],6,FALSE),1)</f>
        <v>3315.5296696149858</v>
      </c>
    </row>
    <row r="172" spans="1:10" x14ac:dyDescent="0.2">
      <c r="A172" s="65" t="s">
        <v>63</v>
      </c>
      <c r="B172" s="39" t="str">
        <f>VLOOKUP(A172,Tableau_REF_Risques[],2,FALSE)</f>
        <v>Détournement des fonctions d'un OS pour exécuter un code malveillant (Services, Registre, Bootloader...)</v>
      </c>
      <c r="C172" s="39">
        <f>_xlfn.MAXIFS(Tableau_REF_SMSR[Vrais Retenue],Tableau_REF_SMSR['#SM],Tableau_REF_SMMS[[#This Row],['#SM]])</f>
        <v>3</v>
      </c>
      <c r="D172" s="66" t="s">
        <v>282</v>
      </c>
      <c r="E172" s="39" t="str">
        <f>VLOOKUP(D172,Tableau_REF_Mesures[],2,FALSE)</f>
        <v>Service de supervision de sécurité (SOC)</v>
      </c>
      <c r="F172" s="143">
        <v>7.1428571428571425E-2</v>
      </c>
      <c r="G172" s="143">
        <f>IFERROR(VLOOKUP(Tableau_REF_SMMS[[#This Row],['#MS]],Tableau_REC_Mesures[#All],6,FALSE),0)</f>
        <v>0</v>
      </c>
      <c r="H172" s="144">
        <f>IF(VLOOKUP(D172,Tableau_REF_Mesures[],3,FALSE)="OUI",F172+(F172*G172),0)</f>
        <v>7.1428571428571425E-2</v>
      </c>
      <c r="I172" s="79">
        <f>VLOOKUP(D172,Tableau_REF_Mesures[],8,FALSE)*H172/IF(VLOOKUP(D172,Tableau_REF_Mesures[],6,FALSE)&gt;0,VLOOKUP(D172,Tableau_REF_Mesures[],6,FALSE),1)</f>
        <v>2251.3848780508793</v>
      </c>
    </row>
    <row r="173" spans="1:10" x14ac:dyDescent="0.2">
      <c r="A173" s="65" t="s">
        <v>63</v>
      </c>
      <c r="B173" s="39" t="str">
        <f>VLOOKUP(A173,Tableau_REF_Risques[],2,FALSE)</f>
        <v>Détournement des fonctions d'un OS pour exécuter un code malveillant (Services, Registre, Bootloader...)</v>
      </c>
      <c r="C173" s="39">
        <f>_xlfn.MAXIFS(Tableau_REF_SMSR[Vrais Retenue],Tableau_REF_SMSR['#SM],Tableau_REF_SMMS[[#This Row],['#SM]])</f>
        <v>3</v>
      </c>
      <c r="D173" s="66" t="s">
        <v>283</v>
      </c>
      <c r="E173" s="39" t="str">
        <f>VLOOKUP(D173,Tableau_REF_Mesures[],2,FALSE)</f>
        <v>Service de gestion des solutions de sécurité</v>
      </c>
      <c r="F173" s="143">
        <v>7.1428571428571425E-2</v>
      </c>
      <c r="G173" s="143">
        <f>IFERROR(VLOOKUP(Tableau_REF_SMMS[[#This Row],['#MS]],Tableau_REC_Mesures[#All],6,FALSE),0)</f>
        <v>0</v>
      </c>
      <c r="H173" s="144">
        <f>IF(VLOOKUP(D173,Tableau_REF_Mesures[],3,FALSE)="OUI",F173+(F173*G173),0)</f>
        <v>7.1428571428571425E-2</v>
      </c>
      <c r="I173" s="79"/>
    </row>
    <row r="174" spans="1:10" x14ac:dyDescent="0.2">
      <c r="A174" s="65" t="s">
        <v>63</v>
      </c>
      <c r="B174" s="39" t="str">
        <f>VLOOKUP(A174,Tableau_REF_Risques[],2,FALSE)</f>
        <v>Détournement des fonctions d'un OS pour exécuter un code malveillant (Services, Registre, Bootloader...)</v>
      </c>
      <c r="C174" s="39">
        <f>_xlfn.MAXIFS(Tableau_REF_SMSR[Vrais Retenue],Tableau_REF_SMSR['#SM],Tableau_REF_SMMS[[#This Row],['#SM]])</f>
        <v>3</v>
      </c>
      <c r="D174" s="66" t="s">
        <v>284</v>
      </c>
      <c r="E174" s="39" t="str">
        <f>VLOOKUP(D174,Tableau_REF_Mesures[],2,FALSE)</f>
        <v>Service de Veille et de réponse à incidents (CERT/CSIRT)</v>
      </c>
      <c r="F174" s="143">
        <v>0.11904761904761904</v>
      </c>
      <c r="G174" s="143">
        <f>IFERROR(VLOOKUP(Tableau_REF_SMMS[[#This Row],['#MS]],Tableau_REC_Mesures[#All],6,FALSE),0)</f>
        <v>0</v>
      </c>
      <c r="H174" s="144">
        <f>IF(VLOOKUP(D174,Tableau_REF_Mesures[],3,FALSE)="OUI",F174+(F174*G174),0)</f>
        <v>0.11904761904761904</v>
      </c>
      <c r="I174" s="79">
        <f>VLOOKUP(D174,Tableau_REF_Mesures[],8,FALSE)*H174/IF(VLOOKUP(D174,Tableau_REF_Mesures[],6,FALSE)&gt;0,VLOOKUP(D174,Tableau_REF_Mesures[],6,FALSE),1)</f>
        <v>7604.6620913173192</v>
      </c>
    </row>
    <row r="175" spans="1:10" x14ac:dyDescent="0.2">
      <c r="A175" s="65" t="s">
        <v>63</v>
      </c>
      <c r="B175" s="39" t="str">
        <f>VLOOKUP(A175,Tableau_REF_Risques[],2,FALSE)</f>
        <v>Détournement des fonctions d'un OS pour exécuter un code malveillant (Services, Registre, Bootloader...)</v>
      </c>
      <c r="C175" s="39">
        <f>_xlfn.MAXIFS(Tableau_REF_SMSR[Vrais Retenue],Tableau_REF_SMSR['#SM],Tableau_REF_SMMS[[#This Row],['#SM]])</f>
        <v>3</v>
      </c>
      <c r="D175" s="66" t="s">
        <v>286</v>
      </c>
      <c r="E175" s="39" t="str">
        <f>VLOOKUP(D175,Tableau_REF_Mesures[],2,FALSE)</f>
        <v>Service d'audit SSI</v>
      </c>
      <c r="F175" s="143">
        <v>7.1428571428571425E-2</v>
      </c>
      <c r="G175" s="143">
        <f>IFERROR(VLOOKUP(Tableau_REF_SMMS[[#This Row],['#MS]],Tableau_REC_Mesures[#All],6,FALSE),0)</f>
        <v>0</v>
      </c>
      <c r="H175" s="144">
        <f>IF(VLOOKUP(D175,Tableau_REF_Mesures[],3,FALSE)="OUI",F175+(F175*G175),0)</f>
        <v>7.1428571428571425E-2</v>
      </c>
      <c r="I175" s="79">
        <f>VLOOKUP(D175,Tableau_REF_Mesures[],8,FALSE)*H175/IF(VLOOKUP(D175,Tableau_REF_Mesures[],6,FALSE)&gt;0,VLOOKUP(D175,Tableau_REF_Mesures[],6,FALSE),1)</f>
        <v>3863.8046366359681</v>
      </c>
    </row>
    <row r="176" spans="1:10" x14ac:dyDescent="0.2">
      <c r="A176" s="39" t="s">
        <v>62</v>
      </c>
      <c r="B176" s="39" t="str">
        <f>VLOOKUP(A176,Tableau_REF_Risques[],2,FALSE)</f>
        <v>Exécution de scripts malveillants dans les interpréteurs de commande (Shell)</v>
      </c>
      <c r="C176" s="39">
        <f>_xlfn.MAXIFS(Tableau_REF_SMSR[Vrais Retenue],Tableau_REF_SMSR['#SM],Tableau_REF_SMMS[[#This Row],['#SM]])</f>
        <v>3</v>
      </c>
      <c r="D176" s="66" t="s">
        <v>280</v>
      </c>
      <c r="E176" s="39" t="str">
        <f>VLOOKUP(D176,Tableau_REF_Mesures[],2,FALSE)</f>
        <v>Solution de sensibilisation et de formation</v>
      </c>
      <c r="F176" s="143">
        <v>0.11904761904761904</v>
      </c>
      <c r="G176" s="143">
        <f>IFERROR(VLOOKUP(Tableau_REF_SMMS[[#This Row],['#MS]],Tableau_REC_Mesures[#All],6,FALSE),0)</f>
        <v>0</v>
      </c>
      <c r="H176" s="144">
        <f>IF(VLOOKUP(D176,Tableau_REF_Mesures[],3,FALSE)="OUI",F176+(F176*G176),0)</f>
        <v>0.11904761904761904</v>
      </c>
      <c r="I176" s="79">
        <f>VLOOKUP(D176,Tableau_REF_Mesures[],8,FALSE)*H176/IF(VLOOKUP(D176,Tableau_REF_Mesures[],6,FALSE)&gt;0,VLOOKUP(D176,Tableau_REF_Mesures[],6,FALSE),1)</f>
        <v>2976.9312783712071</v>
      </c>
      <c r="J176" s="84"/>
    </row>
    <row r="177" spans="1:9" x14ac:dyDescent="0.2">
      <c r="A177" s="65" t="s">
        <v>62</v>
      </c>
      <c r="B177" s="39" t="str">
        <f>VLOOKUP(A177,Tableau_REF_Risques[],2,FALSE)</f>
        <v>Exécution de scripts malveillants dans les interpréteurs de commande (Shell)</v>
      </c>
      <c r="C177" s="39">
        <f>_xlfn.MAXIFS(Tableau_REF_SMSR[Vrais Retenue],Tableau_REF_SMSR['#SM],Tableau_REF_SMMS[[#This Row],['#SM]])</f>
        <v>3</v>
      </c>
      <c r="D177" s="66" t="s">
        <v>272</v>
      </c>
      <c r="E177" s="39" t="str">
        <f>VLOOKUP(D177,Tableau_REF_Mesures[],2,FALSE)</f>
        <v>Solution de protection des terminaux (Antimalware basique)</v>
      </c>
      <c r="F177" s="143">
        <v>4.7619047619047616E-2</v>
      </c>
      <c r="G177" s="143">
        <f>IFERROR(VLOOKUP(Tableau_REF_SMMS[[#This Row],['#MS]],Tableau_REC_Mesures[#All],6,FALSE),0)</f>
        <v>0</v>
      </c>
      <c r="H177" s="144">
        <f>IF(VLOOKUP(D177,Tableau_REF_Mesures[],3,FALSE)="OUI",F177+(F177*G177),0)</f>
        <v>0</v>
      </c>
      <c r="I177" s="79">
        <f>VLOOKUP(D177,Tableau_REF_Mesures[],8,FALSE)*H177/IF(VLOOKUP(D177,Tableau_REF_Mesures[],6,FALSE)&gt;0,VLOOKUP(D177,Tableau_REF_Mesures[],6,FALSE),1)</f>
        <v>0</v>
      </c>
    </row>
    <row r="178" spans="1:9" x14ac:dyDescent="0.2">
      <c r="A178" s="65" t="s">
        <v>62</v>
      </c>
      <c r="B178" s="39" t="str">
        <f>VLOOKUP(A178,Tableau_REF_Risques[],2,FALSE)</f>
        <v>Exécution de scripts malveillants dans les interpréteurs de commande (Shell)</v>
      </c>
      <c r="C178" s="39">
        <f>_xlfn.MAXIFS(Tableau_REF_SMSR[Vrais Retenue],Tableau_REF_SMSR['#SM],Tableau_REF_SMMS[[#This Row],['#SM]])</f>
        <v>3</v>
      </c>
      <c r="D178" s="66" t="s">
        <v>273</v>
      </c>
      <c r="E178" s="39" t="str">
        <f>VLOOKUP(D178,Tableau_REF_Mesures[],2,FALSE)</f>
        <v>Solution de protection des terminaux (EDR)</v>
      </c>
      <c r="F178" s="143">
        <v>0.23809523809523808</v>
      </c>
      <c r="G178" s="143">
        <f>IFERROR(VLOOKUP(Tableau_REF_SMMS[[#This Row],['#MS]],Tableau_REC_Mesures[#All],6,FALSE),0)</f>
        <v>0</v>
      </c>
      <c r="H178" s="144">
        <f>IF(VLOOKUP(D178,Tableau_REF_Mesures[],3,FALSE)="OUI",F178+(F178*G178),0)</f>
        <v>0.23809523809523808</v>
      </c>
      <c r="I178" s="79">
        <f>VLOOKUP(D178,Tableau_REF_Mesures[],8,FALSE)*H178/IF(VLOOKUP(D178,Tableau_REF_Mesures[],6,FALSE)&gt;0,VLOOKUP(D178,Tableau_REF_Mesures[],6,FALSE),1)</f>
        <v>3818.1761418895276</v>
      </c>
    </row>
    <row r="179" spans="1:9" x14ac:dyDescent="0.2">
      <c r="A179" s="65" t="s">
        <v>62</v>
      </c>
      <c r="B179" s="39" t="str">
        <f>VLOOKUP(A179,Tableau_REF_Risques[],2,FALSE)</f>
        <v>Exécution de scripts malveillants dans les interpréteurs de commande (Shell)</v>
      </c>
      <c r="C179" s="39">
        <f>_xlfn.MAXIFS(Tableau_REF_SMSR[Vrais Retenue],Tableau_REF_SMSR['#SM],Tableau_REF_SMMS[[#This Row],['#SM]])</f>
        <v>3</v>
      </c>
      <c r="D179" s="66" t="s">
        <v>275</v>
      </c>
      <c r="E179" s="39" t="str">
        <f>VLOOKUP(D179,Tableau_REF_Mesures[],2,FALSE)</f>
        <v>Solution de gestion des comptes à privilèges (PAM)</v>
      </c>
      <c r="F179" s="143">
        <v>0.19047619047619047</v>
      </c>
      <c r="G179" s="143">
        <f>IFERROR(VLOOKUP(Tableau_REF_SMMS[[#This Row],['#MS]],Tableau_REC_Mesures[#All],6,FALSE),0)</f>
        <v>0</v>
      </c>
      <c r="H179" s="144">
        <f>IF(VLOOKUP(D179,Tableau_REF_Mesures[],3,FALSE)="OUI",F179+(F179*G179),0)</f>
        <v>0.19047619047619047</v>
      </c>
      <c r="I179" s="79">
        <f>VLOOKUP(D179,Tableau_REF_Mesures[],8,FALSE)*H179/IF(VLOOKUP(D179,Tableau_REF_Mesures[],6,FALSE)&gt;0,VLOOKUP(D179,Tableau_REF_Mesures[],6,FALSE),1)</f>
        <v>18965.948801300281</v>
      </c>
    </row>
    <row r="180" spans="1:9" x14ac:dyDescent="0.2">
      <c r="A180" s="65" t="s">
        <v>62</v>
      </c>
      <c r="B180" s="39" t="str">
        <f>VLOOKUP(A180,Tableau_REF_Risques[],2,FALSE)</f>
        <v>Exécution de scripts malveillants dans les interpréteurs de commande (Shell)</v>
      </c>
      <c r="C180" s="39">
        <f>_xlfn.MAXIFS(Tableau_REF_SMSR[Vrais Retenue],Tableau_REF_SMSR['#SM],Tableau_REF_SMMS[[#This Row],['#SM]])</f>
        <v>3</v>
      </c>
      <c r="D180" s="66" t="s">
        <v>278</v>
      </c>
      <c r="E180" s="39" t="str">
        <f>VLOOKUP(D180,Tableau_REF_Mesures[],2,FALSE)</f>
        <v>Solution de collecte et de traitement des événements (SIEM)</v>
      </c>
      <c r="F180" s="143">
        <v>4.7619047619047616E-2</v>
      </c>
      <c r="G180" s="143">
        <f>IFERROR(VLOOKUP(Tableau_REF_SMMS[[#This Row],['#MS]],Tableau_REC_Mesures[#All],6,FALSE),0)</f>
        <v>0</v>
      </c>
      <c r="H180" s="144">
        <f>IF(VLOOKUP(D180,Tableau_REF_Mesures[],3,FALSE)="OUI",F180+(F180*G180),0)</f>
        <v>4.7619047619047616E-2</v>
      </c>
      <c r="I180" s="79">
        <f>VLOOKUP(D180,Tableau_REF_Mesures[],8,FALSE)*H180/IF(VLOOKUP(D180,Tableau_REF_Mesures[],6,FALSE)&gt;0,VLOOKUP(D180,Tableau_REF_Mesures[],6,FALSE),1)</f>
        <v>188.369113372323</v>
      </c>
    </row>
    <row r="181" spans="1:9" x14ac:dyDescent="0.2">
      <c r="A181" s="65" t="s">
        <v>62</v>
      </c>
      <c r="B181" s="39" t="str">
        <f>VLOOKUP(A181,Tableau_REF_Risques[],2,FALSE)</f>
        <v>Exécution de scripts malveillants dans les interpréteurs de commande (Shell)</v>
      </c>
      <c r="C181" s="39">
        <f>_xlfn.MAXIFS(Tableau_REF_SMSR[Vrais Retenue],Tableau_REF_SMSR['#SM],Tableau_REF_SMMS[[#This Row],['#SM]])</f>
        <v>3</v>
      </c>
      <c r="D181" s="66" t="s">
        <v>279</v>
      </c>
      <c r="E181" s="39" t="str">
        <f>VLOOKUP(D181,Tableau_REF_Mesures[],2,FALSE)</f>
        <v>Solution de contrôle de configuration technique (ex Puppet,Ansible)</v>
      </c>
      <c r="F181" s="143">
        <v>0.11904761904761904</v>
      </c>
      <c r="G181" s="143">
        <f>IFERROR(VLOOKUP(Tableau_REF_SMMS[[#This Row],['#MS]],Tableau_REC_Mesures[#All],6,FALSE),0)</f>
        <v>0</v>
      </c>
      <c r="H181" s="144">
        <f>IF(VLOOKUP(D181,Tableau_REF_Mesures[],3,FALSE)="OUI",F181+(F181*G181),0)</f>
        <v>0.11904761904761904</v>
      </c>
      <c r="I181" s="79">
        <f>VLOOKUP(D181,Tableau_REF_Mesures[],8,FALSE)*H181/IF(VLOOKUP(D181,Tableau_REF_Mesures[],6,FALSE)&gt;0,VLOOKUP(D181,Tableau_REF_Mesures[],6,FALSE),1)</f>
        <v>3315.5296696149858</v>
      </c>
    </row>
    <row r="182" spans="1:9" x14ac:dyDescent="0.2">
      <c r="A182" s="65" t="s">
        <v>62</v>
      </c>
      <c r="B182" s="39" t="str">
        <f>VLOOKUP(A182,Tableau_REF_Risques[],2,FALSE)</f>
        <v>Exécution de scripts malveillants dans les interpréteurs de commande (Shell)</v>
      </c>
      <c r="C182" s="39">
        <f>_xlfn.MAXIFS(Tableau_REF_SMSR[Vrais Retenue],Tableau_REF_SMSR['#SM],Tableau_REF_SMMS[[#This Row],['#SM]])</f>
        <v>3</v>
      </c>
      <c r="D182" s="66" t="s">
        <v>282</v>
      </c>
      <c r="E182" s="39" t="str">
        <f>VLOOKUP(D182,Tableau_REF_Mesures[],2,FALSE)</f>
        <v>Service de supervision de sécurité (SOC)</v>
      </c>
      <c r="F182" s="143">
        <v>7.1428571428571425E-2</v>
      </c>
      <c r="G182" s="143">
        <f>IFERROR(VLOOKUP(Tableau_REF_SMMS[[#This Row],['#MS]],Tableau_REC_Mesures[#All],6,FALSE),0)</f>
        <v>0</v>
      </c>
      <c r="H182" s="144">
        <f>IF(VLOOKUP(D182,Tableau_REF_Mesures[],3,FALSE)="OUI",F182+(F182*G182),0)</f>
        <v>7.1428571428571425E-2</v>
      </c>
      <c r="I182" s="79">
        <f>VLOOKUP(D182,Tableau_REF_Mesures[],8,FALSE)*H182/IF(VLOOKUP(D182,Tableau_REF_Mesures[],6,FALSE)&gt;0,VLOOKUP(D182,Tableau_REF_Mesures[],6,FALSE),1)</f>
        <v>2251.3848780508793</v>
      </c>
    </row>
    <row r="183" spans="1:9" x14ac:dyDescent="0.2">
      <c r="A183" s="65" t="s">
        <v>62</v>
      </c>
      <c r="B183" s="39" t="str">
        <f>VLOOKUP(A183,Tableau_REF_Risques[],2,FALSE)</f>
        <v>Exécution de scripts malveillants dans les interpréteurs de commande (Shell)</v>
      </c>
      <c r="C183" s="39">
        <f>_xlfn.MAXIFS(Tableau_REF_SMSR[Vrais Retenue],Tableau_REF_SMSR['#SM],Tableau_REF_SMMS[[#This Row],['#SM]])</f>
        <v>3</v>
      </c>
      <c r="D183" s="66" t="s">
        <v>283</v>
      </c>
      <c r="E183" s="39" t="str">
        <f>VLOOKUP(D183,Tableau_REF_Mesures[],2,FALSE)</f>
        <v>Service de gestion des solutions de sécurité</v>
      </c>
      <c r="F183" s="143">
        <v>7.1428571428571425E-2</v>
      </c>
      <c r="G183" s="143">
        <f>IFERROR(VLOOKUP(Tableau_REF_SMMS[[#This Row],['#MS]],Tableau_REC_Mesures[#All],6,FALSE),0)</f>
        <v>0</v>
      </c>
      <c r="H183" s="144">
        <f>IF(VLOOKUP(D183,Tableau_REF_Mesures[],3,FALSE)="OUI",F183+(F183*G183),0)</f>
        <v>7.1428571428571425E-2</v>
      </c>
      <c r="I183" s="79"/>
    </row>
    <row r="184" spans="1:9" x14ac:dyDescent="0.2">
      <c r="A184" s="65" t="s">
        <v>62</v>
      </c>
      <c r="B184" s="39" t="str">
        <f>VLOOKUP(A184,Tableau_REF_Risques[],2,FALSE)</f>
        <v>Exécution de scripts malveillants dans les interpréteurs de commande (Shell)</v>
      </c>
      <c r="C184" s="39">
        <f>_xlfn.MAXIFS(Tableau_REF_SMSR[Vrais Retenue],Tableau_REF_SMSR['#SM],Tableau_REF_SMMS[[#This Row],['#SM]])</f>
        <v>3</v>
      </c>
      <c r="D184" s="66" t="s">
        <v>284</v>
      </c>
      <c r="E184" s="39" t="str">
        <f>VLOOKUP(D184,Tableau_REF_Mesures[],2,FALSE)</f>
        <v>Service de Veille et de réponse à incidents (CERT/CSIRT)</v>
      </c>
      <c r="F184" s="143">
        <v>7.1428571428571425E-2</v>
      </c>
      <c r="G184" s="143">
        <f>IFERROR(VLOOKUP(Tableau_REF_SMMS[[#This Row],['#MS]],Tableau_REC_Mesures[#All],6,FALSE),0)</f>
        <v>0</v>
      </c>
      <c r="H184" s="144">
        <f>IF(VLOOKUP(D184,Tableau_REF_Mesures[],3,FALSE)="OUI",F184+(F184*G184),0)</f>
        <v>7.1428571428571425E-2</v>
      </c>
      <c r="I184" s="79">
        <f>VLOOKUP(D184,Tableau_REF_Mesures[],8,FALSE)*H184/IF(VLOOKUP(D184,Tableau_REF_Mesures[],6,FALSE)&gt;0,VLOOKUP(D184,Tableau_REF_Mesures[],6,FALSE),1)</f>
        <v>4562.7972547903919</v>
      </c>
    </row>
    <row r="185" spans="1:9" x14ac:dyDescent="0.2">
      <c r="A185" s="65" t="s">
        <v>62</v>
      </c>
      <c r="B185" s="39" t="str">
        <f>VLOOKUP(A185,Tableau_REF_Risques[],2,FALSE)</f>
        <v>Exécution de scripts malveillants dans les interpréteurs de commande (Shell)</v>
      </c>
      <c r="C185" s="39">
        <f>_xlfn.MAXIFS(Tableau_REF_SMSR[Vrais Retenue],Tableau_REF_SMSR['#SM],Tableau_REF_SMMS[[#This Row],['#SM]])</f>
        <v>3</v>
      </c>
      <c r="D185" s="66" t="s">
        <v>286</v>
      </c>
      <c r="E185" s="39" t="str">
        <f>VLOOKUP(D185,Tableau_REF_Mesures[],2,FALSE)</f>
        <v>Service d'audit SSI</v>
      </c>
      <c r="F185" s="143">
        <v>7.1428571428571425E-2</v>
      </c>
      <c r="G185" s="143">
        <f>IFERROR(VLOOKUP(Tableau_REF_SMMS[[#This Row],['#MS]],Tableau_REC_Mesures[#All],6,FALSE),0)</f>
        <v>0</v>
      </c>
      <c r="H185" s="144">
        <f>IF(VLOOKUP(D185,Tableau_REF_Mesures[],3,FALSE)="OUI",F185+(F185*G185),0)</f>
        <v>7.1428571428571425E-2</v>
      </c>
      <c r="I185" s="79">
        <f>VLOOKUP(D185,Tableau_REF_Mesures[],8,FALSE)*H185/IF(VLOOKUP(D185,Tableau_REF_Mesures[],6,FALSE)&gt;0,VLOOKUP(D185,Tableau_REF_Mesures[],6,FALSE),1)</f>
        <v>3863.8046366359681</v>
      </c>
    </row>
    <row r="186" spans="1:9" x14ac:dyDescent="0.2">
      <c r="A186" s="39" t="s">
        <v>61</v>
      </c>
      <c r="B186" s="39" t="str">
        <f>VLOOKUP(A186,Tableau_REF_Risques[],2,FALSE)</f>
        <v>Accès au réseau filaire par une personne non autorisée (absence ou contournement des mécanismes de sécurité)</v>
      </c>
      <c r="C186" s="39">
        <f>_xlfn.MAXIFS(Tableau_REF_SMSR[Vrais Retenue],Tableau_REF_SMSR['#SM],Tableau_REF_SMMS[[#This Row],['#SM]])</f>
        <v>1</v>
      </c>
      <c r="D186" s="66" t="s">
        <v>278</v>
      </c>
      <c r="E186" s="39" t="str">
        <f>VLOOKUP(D186,Tableau_REF_Mesures[],2,FALSE)</f>
        <v>Solution de collecte et de traitement des événements (SIEM)</v>
      </c>
      <c r="F186" s="143">
        <v>9.5238095238095233E-2</v>
      </c>
      <c r="G186" s="143">
        <f>IFERROR(VLOOKUP(Tableau_REF_SMMS[[#This Row],['#MS]],Tableau_REC_Mesures[#All],6,FALSE),0)</f>
        <v>0</v>
      </c>
      <c r="H186" s="144">
        <f>IF(VLOOKUP(D186,Tableau_REF_Mesures[],3,FALSE)="OUI",F186+(F186*G186),0)</f>
        <v>9.5238095238095233E-2</v>
      </c>
      <c r="I186" s="79">
        <f>VLOOKUP(D186,Tableau_REF_Mesures[],8,FALSE)*H186/IF(VLOOKUP(D186,Tableau_REF_Mesures[],6,FALSE)&gt;0,VLOOKUP(D186,Tableau_REF_Mesures[],6,FALSE),1)</f>
        <v>376.738226744646</v>
      </c>
    </row>
    <row r="187" spans="1:9" x14ac:dyDescent="0.2">
      <c r="A187" s="65" t="s">
        <v>61</v>
      </c>
      <c r="B187" s="39" t="str">
        <f>VLOOKUP(A187,Tableau_REF_Risques[],2,FALSE)</f>
        <v>Accès au réseau filaire par une personne non autorisée (absence ou contournement des mécanismes de sécurité)</v>
      </c>
      <c r="C187" s="39">
        <f>_xlfn.MAXIFS(Tableau_REF_SMSR[Vrais Retenue],Tableau_REF_SMSR['#SM],Tableau_REF_SMMS[[#This Row],['#SM]])</f>
        <v>1</v>
      </c>
      <c r="D187" s="66" t="s">
        <v>248</v>
      </c>
      <c r="E187" s="39" t="str">
        <f>VLOOKUP(D187,Tableau_REF_Mesures[],2,FALSE)</f>
        <v>Solution de contrôle d'accès réseau (NAC)</v>
      </c>
      <c r="F187" s="143">
        <v>0.42857142857142855</v>
      </c>
      <c r="G187" s="143">
        <f>IFERROR(VLOOKUP(Tableau_REF_SMMS[[#This Row],['#MS]],Tableau_REC_Mesures[#All],6,FALSE),0)</f>
        <v>0</v>
      </c>
      <c r="H187" s="144">
        <f>IF(VLOOKUP(D187,Tableau_REF_Mesures[],3,FALSE)="OUI",F187+(F187*G187),0)</f>
        <v>0</v>
      </c>
      <c r="I187" s="79">
        <f>VLOOKUP(D187,Tableau_REF_Mesures[],8,FALSE)*H187/IF(VLOOKUP(D187,Tableau_REF_Mesures[],6,FALSE)&gt;0,VLOOKUP(D187,Tableau_REF_Mesures[],6,FALSE),1)</f>
        <v>0</v>
      </c>
    </row>
    <row r="188" spans="1:9" x14ac:dyDescent="0.2">
      <c r="A188" s="65" t="s">
        <v>61</v>
      </c>
      <c r="B188" s="39" t="str">
        <f>VLOOKUP(A188,Tableau_REF_Risques[],2,FALSE)</f>
        <v>Accès au réseau filaire par une personne non autorisée (absence ou contournement des mécanismes de sécurité)</v>
      </c>
      <c r="C188" s="39">
        <f>_xlfn.MAXIFS(Tableau_REF_SMSR[Vrais Retenue],Tableau_REF_SMSR['#SM],Tableau_REF_SMMS[[#This Row],['#SM]])</f>
        <v>1</v>
      </c>
      <c r="D188" s="66" t="s">
        <v>278</v>
      </c>
      <c r="E188" s="39" t="str">
        <f>VLOOKUP(D188,Tableau_REF_Mesures[],2,FALSE)</f>
        <v>Solution de collecte et de traitement des événements (SIEM)</v>
      </c>
      <c r="F188" s="143">
        <v>9.5238095238095233E-2</v>
      </c>
      <c r="G188" s="143">
        <f>IFERROR(VLOOKUP(Tableau_REF_SMMS[[#This Row],['#MS]],Tableau_REC_Mesures[#All],6,FALSE),0)</f>
        <v>0</v>
      </c>
      <c r="H188" s="144">
        <f>IF(VLOOKUP(D188,Tableau_REF_Mesures[],3,FALSE)="OUI",F188+(F188*G188),0)</f>
        <v>9.5238095238095233E-2</v>
      </c>
      <c r="I188" s="79">
        <f>VLOOKUP(D188,Tableau_REF_Mesures[],8,FALSE)*H188/IF(VLOOKUP(D188,Tableau_REF_Mesures[],6,FALSE)&gt;0,VLOOKUP(D188,Tableau_REF_Mesures[],6,FALSE),1)</f>
        <v>376.738226744646</v>
      </c>
    </row>
    <row r="189" spans="1:9" x14ac:dyDescent="0.2">
      <c r="A189" s="65" t="s">
        <v>61</v>
      </c>
      <c r="B189" s="39" t="str">
        <f>VLOOKUP(A189,Tableau_REF_Risques[],2,FALSE)</f>
        <v>Accès au réseau filaire par une personne non autorisée (absence ou contournement des mécanismes de sécurité)</v>
      </c>
      <c r="C189" s="39">
        <f>_xlfn.MAXIFS(Tableau_REF_SMSR[Vrais Retenue],Tableau_REF_SMSR['#SM],Tableau_REF_SMMS[[#This Row],['#SM]])</f>
        <v>1</v>
      </c>
      <c r="D189" s="66" t="s">
        <v>282</v>
      </c>
      <c r="E189" s="39" t="str">
        <f>VLOOKUP(D189,Tableau_REF_Mesures[],2,FALSE)</f>
        <v>Service de supervision de sécurité (SOC)</v>
      </c>
      <c r="F189" s="143">
        <v>0.14285714285714285</v>
      </c>
      <c r="G189" s="143">
        <f>IFERROR(VLOOKUP(Tableau_REF_SMMS[[#This Row],['#MS]],Tableau_REC_Mesures[#All],6,FALSE),0)</f>
        <v>0</v>
      </c>
      <c r="H189" s="144">
        <f>IF(VLOOKUP(D189,Tableau_REF_Mesures[],3,FALSE)="OUI",F189+(F189*G189),0)</f>
        <v>0.14285714285714285</v>
      </c>
      <c r="I189" s="79">
        <f>VLOOKUP(D189,Tableau_REF_Mesures[],8,FALSE)*H189/IF(VLOOKUP(D189,Tableau_REF_Mesures[],6,FALSE)&gt;0,VLOOKUP(D189,Tableau_REF_Mesures[],6,FALSE),1)</f>
        <v>4502.7697561017585</v>
      </c>
    </row>
    <row r="190" spans="1:9" x14ac:dyDescent="0.2">
      <c r="A190" s="65" t="s">
        <v>61</v>
      </c>
      <c r="B190" s="39" t="str">
        <f>VLOOKUP(A190,Tableau_REF_Risques[],2,FALSE)</f>
        <v>Accès au réseau filaire par une personne non autorisée (absence ou contournement des mécanismes de sécurité)</v>
      </c>
      <c r="C190" s="39">
        <f>_xlfn.MAXIFS(Tableau_REF_SMSR[Vrais Retenue],Tableau_REF_SMSR['#SM],Tableau_REF_SMMS[[#This Row],['#SM]])</f>
        <v>1</v>
      </c>
      <c r="D190" s="66" t="s">
        <v>283</v>
      </c>
      <c r="E190" s="39" t="str">
        <f>VLOOKUP(D190,Tableau_REF_Mesures[],2,FALSE)</f>
        <v>Service de gestion des solutions de sécurité</v>
      </c>
      <c r="F190" s="143">
        <v>0.14285714285714285</v>
      </c>
      <c r="G190" s="143">
        <f>IFERROR(VLOOKUP(Tableau_REF_SMMS[[#This Row],['#MS]],Tableau_REC_Mesures[#All],6,FALSE),0)</f>
        <v>0</v>
      </c>
      <c r="H190" s="144">
        <f>IF(VLOOKUP(D190,Tableau_REF_Mesures[],3,FALSE)="OUI",F190+(F190*G190),0)</f>
        <v>0.14285714285714285</v>
      </c>
      <c r="I190" s="79"/>
    </row>
    <row r="191" spans="1:9" x14ac:dyDescent="0.2">
      <c r="A191" s="65" t="s">
        <v>61</v>
      </c>
      <c r="B191" s="39" t="str">
        <f>VLOOKUP(A191,Tableau_REF_Risques[],2,FALSE)</f>
        <v>Accès au réseau filaire par une personne non autorisée (absence ou contournement des mécanismes de sécurité)</v>
      </c>
      <c r="C191" s="39">
        <f>_xlfn.MAXIFS(Tableau_REF_SMSR[Vrais Retenue],Tableau_REF_SMSR['#SM],Tableau_REF_SMMS[[#This Row],['#SM]])</f>
        <v>1</v>
      </c>
      <c r="D191" s="66" t="s">
        <v>288</v>
      </c>
      <c r="E191" s="39" t="str">
        <f>VLOOKUP(D191,Tableau_REF_Mesures[],2,FALSE)</f>
        <v>Service de gestion de la gouvernance et des risques</v>
      </c>
      <c r="F191" s="143">
        <v>9.5238095238095233E-2</v>
      </c>
      <c r="G191" s="143">
        <f>IFERROR(VLOOKUP(Tableau_REF_SMMS[[#This Row],['#MS]],Tableau_REC_Mesures[#All],6,FALSE),0)</f>
        <v>0</v>
      </c>
      <c r="H191" s="144">
        <f>IF(VLOOKUP(D191,Tableau_REF_Mesures[],3,FALSE)="OUI",F191+(F191*G191),0)</f>
        <v>9.5238095238095233E-2</v>
      </c>
      <c r="I191" s="79">
        <f>VLOOKUP(D191,Tableau_REF_Mesures[],8,FALSE)*H191/IF(VLOOKUP(D191,Tableau_REF_Mesures[],6,FALSE)&gt;0,VLOOKUP(D191,Tableau_REF_Mesures[],6,FALSE),1)</f>
        <v>9662.8039306521223</v>
      </c>
    </row>
    <row r="192" spans="1:9" x14ac:dyDescent="0.2">
      <c r="A192" s="39" t="s">
        <v>52</v>
      </c>
      <c r="B192" s="39" t="str">
        <f>VLOOKUP(A192,Tableau_REF_Risques[],2,FALSE)</f>
        <v>Compromission d'un poste via l'accès à un site web infecté</v>
      </c>
      <c r="C192" s="39">
        <f>_xlfn.MAXIFS(Tableau_REF_SMSR[Vrais Retenue],Tableau_REF_SMSR['#SM],Tableau_REF_SMMS[[#This Row],['#SM]])</f>
        <v>4</v>
      </c>
      <c r="D192" s="66" t="s">
        <v>241</v>
      </c>
      <c r="E192" s="39" t="str">
        <f>VLOOKUP(D192,Tableau_REF_Mesures[],2,FALSE)</f>
        <v>Solution de pare-feu (élémentaire)</v>
      </c>
      <c r="F192" s="144">
        <v>3.2258064516129031E-2</v>
      </c>
      <c r="G192" s="143">
        <f>IFERROR(VLOOKUP(Tableau_REF_SMMS[[#This Row],['#MS]],Tableau_REC_Mesures[#All],6,FALSE),0)</f>
        <v>0</v>
      </c>
      <c r="H192" s="144">
        <f>IF(VLOOKUP(D192,Tableau_REF_Mesures[],3,FALSE)="OUI",F192+(F192*G192),0)</f>
        <v>0</v>
      </c>
      <c r="I192" s="79">
        <f>VLOOKUP(D192,Tableau_REF_Mesures[],8,FALSE)*H192/IF(VLOOKUP(D192,Tableau_REF_Mesures[],6,FALSE)&gt;0,VLOOKUP(D192,Tableau_REF_Mesures[],6,FALSE),1)</f>
        <v>0</v>
      </c>
    </row>
    <row r="193" spans="1:11" s="39" customFormat="1" x14ac:dyDescent="0.2">
      <c r="A193" s="39" t="s">
        <v>52</v>
      </c>
      <c r="B193" s="65" t="str">
        <f>VLOOKUP(A193,Tableau_REF_Risques[],2,FALSE)</f>
        <v>Compromission d'un poste via l'accès à un site web infecté</v>
      </c>
      <c r="C193" s="39">
        <f>_xlfn.MAXIFS(Tableau_REF_SMSR[Vrais Retenue],Tableau_REF_SMSR['#SM],Tableau_REF_SMMS[[#This Row],['#SM]])</f>
        <v>4</v>
      </c>
      <c r="D193" s="66" t="s">
        <v>243</v>
      </c>
      <c r="E193" s="39" t="str">
        <f>VLOOKUP(D193,Tableau_REF_Mesures[],2,FALSE)</f>
        <v>Solution de pare-feu (intermédiaire)</v>
      </c>
      <c r="F193" s="77">
        <v>0.11290322580645161</v>
      </c>
      <c r="G193" s="143">
        <f>IFERROR(VLOOKUP(Tableau_REF_SMMS[[#This Row],['#MS]],Tableau_REC_Mesures[#All],6,FALSE),0)</f>
        <v>0</v>
      </c>
      <c r="H193" s="144">
        <f>IF(VLOOKUP(D193,Tableau_REF_Mesures[],3,FALSE)="OUI",F193+(F193*G193),0)</f>
        <v>0</v>
      </c>
      <c r="I193" s="79">
        <f>VLOOKUP(D193,Tableau_REF_Mesures[],8,FALSE)*H193/IF(VLOOKUP(D193,Tableau_REF_Mesures[],6,FALSE)&gt;0,VLOOKUP(D193,Tableau_REF_Mesures[],6,FALSE),1)</f>
        <v>0</v>
      </c>
    </row>
    <row r="194" spans="1:11" s="39" customFormat="1" x14ac:dyDescent="0.2">
      <c r="A194" s="39" t="s">
        <v>52</v>
      </c>
      <c r="B194" s="65" t="str">
        <f>VLOOKUP(A194,Tableau_REF_Risques[],2,FALSE)</f>
        <v>Compromission d'un poste via l'accès à un site web infecté</v>
      </c>
      <c r="C194" s="39">
        <f>_xlfn.MAXIFS(Tableau_REF_SMSR[Vrais Retenue],Tableau_REF_SMSR['#SM],Tableau_REF_SMMS[[#This Row],['#SM]])</f>
        <v>4</v>
      </c>
      <c r="D194" s="66" t="s">
        <v>245</v>
      </c>
      <c r="E194" s="39" t="str">
        <f>VLOOKUP(D194,Tableau_REF_Mesures[],2,FALSE)</f>
        <v>Solution de pare-feu (avancé)</v>
      </c>
      <c r="F194" s="77">
        <v>0.25806451612903225</v>
      </c>
      <c r="G194" s="143">
        <f>IFERROR(VLOOKUP(Tableau_REF_SMMS[[#This Row],['#MS]],Tableau_REC_Mesures[#All],6,FALSE),0)</f>
        <v>0</v>
      </c>
      <c r="H194" s="144">
        <f>IF(VLOOKUP(D194,Tableau_REF_Mesures[],3,FALSE)="OUI",F194+(F194*G194),0)</f>
        <v>0.25806451612903225</v>
      </c>
      <c r="I194" s="79">
        <f>VLOOKUP(D194,Tableau_REF_Mesures[],8,FALSE)*H194/IF(VLOOKUP(D194,Tableau_REF_Mesures[],6,FALSE)&gt;0,VLOOKUP(D194,Tableau_REF_Mesures[],6,FALSE),1)</f>
        <v>3372.0322157290584</v>
      </c>
    </row>
    <row r="195" spans="1:11" s="39" customFormat="1" x14ac:dyDescent="0.2">
      <c r="A195" s="39" t="s">
        <v>52</v>
      </c>
      <c r="B195" s="65" t="str">
        <f>VLOOKUP(A195,Tableau_REF_Risques[],2,FALSE)</f>
        <v>Compromission d'un poste via l'accès à un site web infecté</v>
      </c>
      <c r="C195" s="39">
        <f>_xlfn.MAXIFS(Tableau_REF_SMSR[Vrais Retenue],Tableau_REF_SMSR['#SM],Tableau_REF_SMMS[[#This Row],['#SM]])</f>
        <v>4</v>
      </c>
      <c r="D195" s="66" t="s">
        <v>250</v>
      </c>
      <c r="E195" s="39" t="str">
        <f>VLOOKUP(D195,Tableau_REF_Mesures[],2,FALSE)</f>
        <v>Solution Proxy / Web Gateway (élémentaire)</v>
      </c>
      <c r="F195" s="77">
        <v>3.2258064516129031E-2</v>
      </c>
      <c r="G195" s="143">
        <f>IFERROR(VLOOKUP(Tableau_REF_SMMS[[#This Row],['#MS]],Tableau_REC_Mesures[#All],6,FALSE),0)</f>
        <v>1</v>
      </c>
      <c r="H195" s="144">
        <f>IF(VLOOKUP(D195,Tableau_REF_Mesures[],3,FALSE)="OUI",F195+(F195*G195),0)</f>
        <v>0</v>
      </c>
      <c r="I195" s="79">
        <f>VLOOKUP(D195,Tableau_REF_Mesures[],8,FALSE)*H195/IF(VLOOKUP(D195,Tableau_REF_Mesures[],6,FALSE)&gt;0,VLOOKUP(D195,Tableau_REF_Mesures[],6,FALSE),1)</f>
        <v>0</v>
      </c>
    </row>
    <row r="196" spans="1:11" s="39" customFormat="1" x14ac:dyDescent="0.2">
      <c r="A196" s="39" t="s">
        <v>52</v>
      </c>
      <c r="B196" s="65" t="str">
        <f>VLOOKUP(A196,Tableau_REF_Risques[],2,FALSE)</f>
        <v>Compromission d'un poste via l'accès à un site web infecté</v>
      </c>
      <c r="C196" s="39">
        <f>_xlfn.MAXIFS(Tableau_REF_SMSR[Vrais Retenue],Tableau_REF_SMSR['#SM],Tableau_REF_SMMS[[#This Row],['#SM]])</f>
        <v>4</v>
      </c>
      <c r="D196" s="66" t="s">
        <v>252</v>
      </c>
      <c r="E196" s="39" t="str">
        <f>VLOOKUP(D196,Tableau_REF_Mesures[],2,FALSE)</f>
        <v>Solution Proxy / Web Gateway (intermédiaire)</v>
      </c>
      <c r="F196" s="77">
        <v>0.12903225806451613</v>
      </c>
      <c r="G196" s="143">
        <f>IFERROR(VLOOKUP(Tableau_REF_SMMS[[#This Row],['#MS]],Tableau_REC_Mesures[#All],6,FALSE),0)</f>
        <v>1</v>
      </c>
      <c r="H196" s="144">
        <f>IF(VLOOKUP(D196,Tableau_REF_Mesures[],3,FALSE)="OUI",F196+(F196*G196),0)</f>
        <v>0.25806451612903225</v>
      </c>
      <c r="I196" s="79">
        <f>VLOOKUP(D196,Tableau_REF_Mesures[],8,FALSE)*H196/IF(VLOOKUP(D196,Tableau_REF_Mesures[],6,FALSE)&gt;0,VLOOKUP(D196,Tableau_REF_Mesures[],6,FALSE),1)</f>
        <v>5329.1091750385585</v>
      </c>
    </row>
    <row r="197" spans="1:11" s="39" customFormat="1" x14ac:dyDescent="0.2">
      <c r="A197" s="39" t="s">
        <v>52</v>
      </c>
      <c r="B197" s="65" t="str">
        <f>VLOOKUP(A197,Tableau_REF_Risques[],2,FALSE)</f>
        <v>Compromission d'un poste via l'accès à un site web infecté</v>
      </c>
      <c r="C197" s="39">
        <f>_xlfn.MAXIFS(Tableau_REF_SMSR[Vrais Retenue],Tableau_REF_SMSR['#SM],Tableau_REF_SMMS[[#This Row],['#SM]])</f>
        <v>4</v>
      </c>
      <c r="D197" s="66" t="s">
        <v>254</v>
      </c>
      <c r="E197" s="39" t="str">
        <f>VLOOKUP(D197,Tableau_REF_Mesures[],2,FALSE)</f>
        <v>Solution Proxy / Web Gateway (avancé)</v>
      </c>
      <c r="F197" s="77">
        <v>0.27419354838709675</v>
      </c>
      <c r="G197" s="143">
        <f>IFERROR(VLOOKUP(Tableau_REF_SMMS[[#This Row],['#MS]],Tableau_REC_Mesures[#All],6,FALSE),0)</f>
        <v>0.9</v>
      </c>
      <c r="H197" s="144">
        <f>IF(VLOOKUP(D197,Tableau_REF_Mesures[],3,FALSE)="OUI",F197+(F197*G197),0)</f>
        <v>0</v>
      </c>
      <c r="I197" s="79">
        <f>VLOOKUP(D197,Tableau_REF_Mesures[],8,FALSE)*H197/IF(VLOOKUP(D197,Tableau_REF_Mesures[],6,FALSE)&gt;0,VLOOKUP(D197,Tableau_REF_Mesures[],6,FALSE),1)</f>
        <v>0</v>
      </c>
    </row>
    <row r="198" spans="1:11" s="39" customFormat="1" x14ac:dyDescent="0.2">
      <c r="A198" s="39" t="s">
        <v>52</v>
      </c>
      <c r="B198" s="65" t="str">
        <f>VLOOKUP(A198,Tableau_REF_Risques[],2,FALSE)</f>
        <v>Compromission d'un poste via l'accès à un site web infecté</v>
      </c>
      <c r="C198" s="39">
        <f>_xlfn.MAXIFS(Tableau_REF_SMSR[Vrais Retenue],Tableau_REF_SMSR['#SM],Tableau_REF_SMMS[[#This Row],['#SM]])</f>
        <v>4</v>
      </c>
      <c r="D198" s="66" t="s">
        <v>262</v>
      </c>
      <c r="E198" s="39" t="str">
        <f>VLOOKUP(D198,Tableau_REF_Mesures[],2,FALSE)</f>
        <v>Sondes spécialisées IDPS (Détection &amp; Prévention d'intrusion)</v>
      </c>
      <c r="F198" s="77">
        <v>8.0645161290322578E-2</v>
      </c>
      <c r="G198" s="143">
        <f>IFERROR(VLOOKUP(Tableau_REF_SMMS[[#This Row],['#MS]],Tableau_REC_Mesures[#All],6,FALSE),0)</f>
        <v>0.8</v>
      </c>
      <c r="H198" s="144">
        <f>IF(VLOOKUP(D198,Tableau_REF_Mesures[],3,FALSE)="OUI",F198+(F198*G198),0)</f>
        <v>0.14516129032258063</v>
      </c>
      <c r="I198" s="79">
        <f>VLOOKUP(D198,Tableau_REF_Mesures[],8,FALSE)*H198/IF(VLOOKUP(D198,Tableau_REF_Mesures[],6,FALSE)&gt;0,VLOOKUP(D198,Tableau_REF_Mesures[],6,FALSE),1)</f>
        <v>3385.7858481823509</v>
      </c>
    </row>
    <row r="199" spans="1:11" s="39" customFormat="1" x14ac:dyDescent="0.2">
      <c r="A199" s="39" t="s">
        <v>52</v>
      </c>
      <c r="B199" s="65" t="str">
        <f>VLOOKUP(A199,Tableau_REF_Risques[],2,FALSE)</f>
        <v>Compromission d'un poste via l'accès à un site web infecté</v>
      </c>
      <c r="C199" s="39">
        <f>_xlfn.MAXIFS(Tableau_REF_SMSR[Vrais Retenue],Tableau_REF_SMSR['#SM],Tableau_REF_SMMS[[#This Row],['#SM]])</f>
        <v>4</v>
      </c>
      <c r="D199" s="66" t="s">
        <v>272</v>
      </c>
      <c r="E199" s="39" t="str">
        <f>VLOOKUP(D199,Tableau_REF_Mesures[],2,FALSE)</f>
        <v>Solution de protection des terminaux (Antimalware basique)</v>
      </c>
      <c r="F199" s="77">
        <v>1.6129032258064516E-2</v>
      </c>
      <c r="G199" s="143">
        <f>IFERROR(VLOOKUP(Tableau_REF_SMMS[[#This Row],['#MS]],Tableau_REC_Mesures[#All],6,FALSE),0)</f>
        <v>0</v>
      </c>
      <c r="H199" s="144">
        <f>IF(VLOOKUP(D199,Tableau_REF_Mesures[],3,FALSE)="OUI",F199+(F199*G199),0)</f>
        <v>0</v>
      </c>
      <c r="I199" s="79">
        <f>VLOOKUP(D199,Tableau_REF_Mesures[],8,FALSE)*H199/IF(VLOOKUP(D199,Tableau_REF_Mesures[],6,FALSE)&gt;0,VLOOKUP(D199,Tableau_REF_Mesures[],6,FALSE),1)</f>
        <v>0</v>
      </c>
    </row>
    <row r="200" spans="1:11" s="39" customFormat="1" x14ac:dyDescent="0.2">
      <c r="A200" s="39" t="s">
        <v>52</v>
      </c>
      <c r="B200" s="65" t="str">
        <f>VLOOKUP(A200,Tableau_REF_Risques[],2,FALSE)</f>
        <v>Compromission d'un poste via l'accès à un site web infecté</v>
      </c>
      <c r="C200" s="39">
        <f>_xlfn.MAXIFS(Tableau_REF_SMSR[Vrais Retenue],Tableau_REF_SMSR['#SM],Tableau_REF_SMMS[[#This Row],['#SM]])</f>
        <v>4</v>
      </c>
      <c r="D200" s="66" t="s">
        <v>273</v>
      </c>
      <c r="E200" s="39" t="str">
        <f>VLOOKUP(D200,Tableau_REF_Mesures[],2,FALSE)</f>
        <v>Solution de protection des terminaux (EDR)</v>
      </c>
      <c r="F200" s="77">
        <v>0.14516129032258063</v>
      </c>
      <c r="G200" s="143">
        <f>IFERROR(VLOOKUP(Tableau_REF_SMMS[[#This Row],['#MS]],Tableau_REC_Mesures[#All],6,FALSE),0)</f>
        <v>0</v>
      </c>
      <c r="H200" s="144">
        <f>IF(VLOOKUP(D200,Tableau_REF_Mesures[],3,FALSE)="OUI",F200+(F200*G200),0)</f>
        <v>0.14516129032258063</v>
      </c>
      <c r="I200" s="79">
        <f>VLOOKUP(D200,Tableau_REF_Mesures[],8,FALSE)*H200/IF(VLOOKUP(D200,Tableau_REF_Mesures[],6,FALSE)&gt;0,VLOOKUP(D200,Tableau_REF_Mesures[],6,FALSE),1)</f>
        <v>2327.8557768294218</v>
      </c>
    </row>
    <row r="201" spans="1:11" s="39" customFormat="1" x14ac:dyDescent="0.2">
      <c r="A201" s="39" t="s">
        <v>52</v>
      </c>
      <c r="B201" s="65" t="str">
        <f>VLOOKUP(A201,Tableau_REF_Risques[],2,FALSE)</f>
        <v>Compromission d'un poste via l'accès à un site web infecté</v>
      </c>
      <c r="C201" s="39">
        <f>_xlfn.MAXIFS(Tableau_REF_SMSR[Vrais Retenue],Tableau_REF_SMSR['#SM],Tableau_REF_SMMS[[#This Row],['#SM]])</f>
        <v>4</v>
      </c>
      <c r="D201" s="66" t="s">
        <v>278</v>
      </c>
      <c r="E201" s="39" t="str">
        <f>VLOOKUP(D201,Tableau_REF_Mesures[],2,FALSE)</f>
        <v>Solution de collecte et de traitement des événements (SIEM)</v>
      </c>
      <c r="F201" s="77">
        <v>3.2258064516129031E-2</v>
      </c>
      <c r="G201" s="143">
        <f>IFERROR(VLOOKUP(Tableau_REF_SMMS[[#This Row],['#MS]],Tableau_REC_Mesures[#All],6,FALSE),0)</f>
        <v>0</v>
      </c>
      <c r="H201" s="144">
        <f>IF(VLOOKUP(D201,Tableau_REF_Mesures[],3,FALSE)="OUI",F201+(F201*G201),0)</f>
        <v>3.2258064516129031E-2</v>
      </c>
      <c r="I201" s="79">
        <f>VLOOKUP(D201,Tableau_REF_Mesures[],8,FALSE)*H201/IF(VLOOKUP(D201,Tableau_REF_Mesures[],6,FALSE)&gt;0,VLOOKUP(D201,Tableau_REF_Mesures[],6,FALSE),1)</f>
        <v>127.60488325221881</v>
      </c>
    </row>
    <row r="202" spans="1:11" s="39" customFormat="1" x14ac:dyDescent="0.2">
      <c r="A202" s="39" t="s">
        <v>52</v>
      </c>
      <c r="B202" s="65" t="str">
        <f>VLOOKUP(A202,Tableau_REF_Risques[],2,FALSE)</f>
        <v>Compromission d'un poste via l'accès à un site web infecté</v>
      </c>
      <c r="C202" s="39">
        <f>_xlfn.MAXIFS(Tableau_REF_SMSR[Vrais Retenue],Tableau_REF_SMSR['#SM],Tableau_REF_SMMS[[#This Row],['#SM]])</f>
        <v>4</v>
      </c>
      <c r="D202" s="66" t="s">
        <v>280</v>
      </c>
      <c r="E202" s="39" t="str">
        <f>VLOOKUP(D202,Tableau_REF_Mesures[],2,FALSE)</f>
        <v>Solution de sensibilisation et de formation</v>
      </c>
      <c r="F202" s="77">
        <v>8.0645161290322578E-2</v>
      </c>
      <c r="G202" s="143">
        <f>IFERROR(VLOOKUP(Tableau_REF_SMMS[[#This Row],['#MS]],Tableau_REC_Mesures[#All],6,FALSE),0)</f>
        <v>0</v>
      </c>
      <c r="H202" s="144">
        <f>IF(VLOOKUP(D202,Tableau_REF_Mesures[],3,FALSE)="OUI",F202+(F202*G202),0)</f>
        <v>8.0645161290322578E-2</v>
      </c>
      <c r="I202" s="79">
        <f>VLOOKUP(D202,Tableau_REF_Mesures[],8,FALSE)*H202/IF(VLOOKUP(D202,Tableau_REF_Mesures[],6,FALSE)&gt;0,VLOOKUP(D202,Tableau_REF_Mesures[],6,FALSE),1)</f>
        <v>2016.6308659933986</v>
      </c>
    </row>
    <row r="203" spans="1:11" s="39" customFormat="1" x14ac:dyDescent="0.2">
      <c r="A203" s="39" t="s">
        <v>52</v>
      </c>
      <c r="B203" s="65" t="str">
        <f>VLOOKUP(A203,Tableau_REF_Risques[],2,FALSE)</f>
        <v>Compromission d'un poste via l'accès à un site web infecté</v>
      </c>
      <c r="C203" s="39">
        <f>_xlfn.MAXIFS(Tableau_REF_SMSR[Vrais Retenue],Tableau_REF_SMSR['#SM],Tableau_REF_SMMS[[#This Row],['#SM]])</f>
        <v>4</v>
      </c>
      <c r="D203" s="66" t="s">
        <v>282</v>
      </c>
      <c r="E203" s="39" t="str">
        <f>VLOOKUP(D203,Tableau_REF_Mesures[],2,FALSE)</f>
        <v>Service de supervision de sécurité (SOC)</v>
      </c>
      <c r="F203" s="77">
        <v>4.8387096774193547E-2</v>
      </c>
      <c r="G203" s="143">
        <f>IFERROR(VLOOKUP(Tableau_REF_SMMS[[#This Row],['#MS]],Tableau_REC_Mesures[#All],6,FALSE),0)</f>
        <v>0</v>
      </c>
      <c r="H203" s="144">
        <f>IF(VLOOKUP(D203,Tableau_REF_Mesures[],3,FALSE)="OUI",F203+(F203*G203),0)</f>
        <v>4.8387096774193547E-2</v>
      </c>
      <c r="I203" s="79">
        <f>VLOOKUP(D203,Tableau_REF_Mesures[],8,FALSE)*H203/IF(VLOOKUP(D203,Tableau_REF_Mesures[],6,FALSE)&gt;0,VLOOKUP(D203,Tableau_REF_Mesures[],6,FALSE),1)</f>
        <v>1525.1316915828538</v>
      </c>
    </row>
    <row r="204" spans="1:11" s="39" customFormat="1" x14ac:dyDescent="0.2">
      <c r="A204" s="39" t="s">
        <v>52</v>
      </c>
      <c r="B204" s="65" t="str">
        <f>VLOOKUP(A204,Tableau_REF_Risques[],2,FALSE)</f>
        <v>Compromission d'un poste via l'accès à un site web infecté</v>
      </c>
      <c r="C204" s="39">
        <f>_xlfn.MAXIFS(Tableau_REF_SMSR[Vrais Retenue],Tableau_REF_SMSR['#SM],Tableau_REF_SMMS[[#This Row],['#SM]])</f>
        <v>4</v>
      </c>
      <c r="D204" s="66" t="s">
        <v>283</v>
      </c>
      <c r="E204" s="39" t="str">
        <f>VLOOKUP(D204,Tableau_REF_Mesures[],2,FALSE)</f>
        <v>Service de gestion des solutions de sécurité</v>
      </c>
      <c r="F204" s="77">
        <v>8.0645161290322578E-2</v>
      </c>
      <c r="G204" s="143">
        <f>IFERROR(VLOOKUP(Tableau_REF_SMMS[[#This Row],['#MS]],Tableau_REC_Mesures[#All],6,FALSE),0)</f>
        <v>0</v>
      </c>
      <c r="H204" s="144">
        <f>IF(VLOOKUP(D204,Tableau_REF_Mesures[],3,FALSE)="OUI",F204+(F204*G204),0)</f>
        <v>8.0645161290322578E-2</v>
      </c>
      <c r="I204" s="79"/>
    </row>
    <row r="205" spans="1:11" x14ac:dyDescent="0.2">
      <c r="A205" s="65" t="s">
        <v>74</v>
      </c>
      <c r="B205" s="39" t="str">
        <f>VLOOKUP(A205,Tableau_REF_Risques[],2,FALSE)</f>
        <v>Erreur humaine entrainant une fuite de données</v>
      </c>
      <c r="C205" s="39">
        <f>_xlfn.MAXIFS(Tableau_REF_SMSR[Vrais Retenue],Tableau_REF_SMSR['#SM],Tableau_REF_SMMS[[#This Row],['#SM]])</f>
        <v>4</v>
      </c>
      <c r="D205" s="66" t="s">
        <v>262</v>
      </c>
      <c r="E205" s="39" t="str">
        <f>VLOOKUP(D205,Tableau_REF_Mesures[],2,FALSE)</f>
        <v>Sondes spécialisées IDPS (Détection &amp; Prévention d'intrusion)</v>
      </c>
      <c r="F205" s="77">
        <v>0.15</v>
      </c>
      <c r="G205" s="143">
        <f>IFERROR(VLOOKUP(Tableau_REF_SMMS[[#This Row],['#MS]],Tableau_REC_Mesures[#All],6,FALSE),0)</f>
        <v>0.8</v>
      </c>
      <c r="H205" s="144">
        <f>IF(VLOOKUP(D205,Tableau_REF_Mesures[],3,FALSE)="OUI",F205+(F205*G205),0)</f>
        <v>0.27</v>
      </c>
      <c r="I205" s="79">
        <f>VLOOKUP(D205,Tableau_REF_Mesures[],8,FALSE)*H205/IF(VLOOKUP(D205,Tableau_REF_Mesures[],6,FALSE)&gt;0,VLOOKUP(D205,Tableau_REF_Mesures[],6,FALSE),1)</f>
        <v>6297.5616776191737</v>
      </c>
      <c r="K205" s="66"/>
    </row>
    <row r="206" spans="1:11" x14ac:dyDescent="0.2">
      <c r="A206" s="65" t="s">
        <v>74</v>
      </c>
      <c r="B206" s="39" t="str">
        <f>VLOOKUP(A206,Tableau_REF_Risques[],2,FALSE)</f>
        <v>Erreur humaine entrainant une fuite de données</v>
      </c>
      <c r="C206" s="39">
        <f>_xlfn.MAXIFS(Tableau_REF_SMSR[Vrais Retenue],Tableau_REF_SMSR['#SM],Tableau_REF_SMMS[[#This Row],['#SM]])</f>
        <v>4</v>
      </c>
      <c r="D206" s="66" t="s">
        <v>269</v>
      </c>
      <c r="E206" s="39" t="str">
        <f>VLOOKUP(D206,Tableau_REF_Mesures[],2,FALSE)</f>
        <v>Solution de protection des mails (avancé)</v>
      </c>
      <c r="F206" s="77">
        <v>0.1</v>
      </c>
      <c r="G206" s="143">
        <f>IFERROR(VLOOKUP(Tableau_REF_SMMS[[#This Row],['#MS]],Tableau_REC_Mesures[#All],6,FALSE),0)</f>
        <v>0.5</v>
      </c>
      <c r="H206" s="144">
        <f>IF(VLOOKUP(D206,Tableau_REF_Mesures[],3,FALSE)="OUI",F206+(F206*G206),0)</f>
        <v>0.15000000000000002</v>
      </c>
      <c r="I206" s="79">
        <f>VLOOKUP(D206,Tableau_REF_Mesures[],8,FALSE)*H206/IF(VLOOKUP(D206,Tableau_REF_Mesures[],6,FALSE)&gt;0,VLOOKUP(D206,Tableau_REF_Mesures[],6,FALSE),1)</f>
        <v>8037.0370370370383</v>
      </c>
      <c r="K206" s="66"/>
    </row>
    <row r="207" spans="1:11" x14ac:dyDescent="0.2">
      <c r="A207" s="65" t="s">
        <v>74</v>
      </c>
      <c r="B207" s="39" t="str">
        <f>VLOOKUP(A207,Tableau_REF_Risques[],2,FALSE)</f>
        <v>Erreur humaine entrainant une fuite de données</v>
      </c>
      <c r="C207" s="39">
        <f>_xlfn.MAXIFS(Tableau_REF_SMSR[Vrais Retenue],Tableau_REF_SMSR['#SM],Tableau_REF_SMMS[[#This Row],['#SM]])</f>
        <v>4</v>
      </c>
      <c r="D207" s="66" t="s">
        <v>276</v>
      </c>
      <c r="E207" s="39" t="str">
        <f>VLOOKUP(D207,Tableau_REF_Mesures[],2,FALSE)</f>
        <v>Solution de protection Cloud (CASB/CSPM)</v>
      </c>
      <c r="F207" s="77">
        <v>0.15</v>
      </c>
      <c r="G207" s="143">
        <f>IFERROR(VLOOKUP(Tableau_REF_SMMS[[#This Row],['#MS]],Tableau_REC_Mesures[#All],6,FALSE),0)</f>
        <v>0</v>
      </c>
      <c r="H207" s="144">
        <f>IF(VLOOKUP(D207,Tableau_REF_Mesures[],3,FALSE)="OUI",F207+(F207*G207),0)</f>
        <v>0.15</v>
      </c>
      <c r="I207" s="79">
        <f>VLOOKUP(D207,Tableau_REF_Mesures[],8,FALSE)*H207/IF(VLOOKUP(D207,Tableau_REF_Mesures[],6,FALSE)&gt;0,VLOOKUP(D207,Tableau_REF_Mesures[],6,FALSE),1)</f>
        <v>13466.319557435731</v>
      </c>
      <c r="K207" s="66"/>
    </row>
    <row r="208" spans="1:11" x14ac:dyDescent="0.2">
      <c r="A208" s="65" t="s">
        <v>74</v>
      </c>
      <c r="B208" s="39" t="str">
        <f>VLOOKUP(A208,Tableau_REF_Risques[],2,FALSE)</f>
        <v>Erreur humaine entrainant une fuite de données</v>
      </c>
      <c r="C208" s="39">
        <f>_xlfn.MAXIFS(Tableau_REF_SMSR[Vrais Retenue],Tableau_REF_SMSR['#SM],Tableau_REF_SMMS[[#This Row],['#SM]])</f>
        <v>4</v>
      </c>
      <c r="D208" s="66" t="s">
        <v>277</v>
      </c>
      <c r="E208" s="39" t="str">
        <f>VLOOKUP(D208,Tableau_REF_Mesures[],2,FALSE)</f>
        <v>Solution de prévention des fuites de données (DLP)</v>
      </c>
      <c r="F208" s="77">
        <v>0.2</v>
      </c>
      <c r="G208" s="143">
        <f>IFERROR(VLOOKUP(Tableau_REF_SMMS[[#This Row],['#MS]],Tableau_REC_Mesures[#All],6,FALSE),0)</f>
        <v>0</v>
      </c>
      <c r="H208" s="144">
        <f>IF(VLOOKUP(D208,Tableau_REF_Mesures[],3,FALSE)="OUI",F208+(F208*G208),0)</f>
        <v>0.2</v>
      </c>
      <c r="I208" s="79">
        <f>VLOOKUP(D208,Tableau_REF_Mesures[],8,FALSE)*H208/IF(VLOOKUP(D208,Tableau_REF_Mesures[],6,FALSE)&gt;0,VLOOKUP(D208,Tableau_REF_Mesures[],6,FALSE),1)</f>
        <v>47294.117647058825</v>
      </c>
      <c r="K208" s="66"/>
    </row>
    <row r="209" spans="1:11" x14ac:dyDescent="0.2">
      <c r="A209" s="65" t="s">
        <v>74</v>
      </c>
      <c r="B209" s="39" t="str">
        <f>VLOOKUP(A209,Tableau_REF_Risques[],2,FALSE)</f>
        <v>Erreur humaine entrainant une fuite de données</v>
      </c>
      <c r="C209" s="39">
        <f>_xlfn.MAXIFS(Tableau_REF_SMSR[Vrais Retenue],Tableau_REF_SMSR['#SM],Tableau_REF_SMMS[[#This Row],['#SM]])</f>
        <v>4</v>
      </c>
      <c r="D209" s="66" t="s">
        <v>278</v>
      </c>
      <c r="E209" s="39" t="str">
        <f>VLOOKUP(D209,Tableau_REF_Mesures[],2,FALSE)</f>
        <v>Solution de collecte et de traitement des événements (SIEM)</v>
      </c>
      <c r="F209" s="77">
        <v>0.05</v>
      </c>
      <c r="G209" s="143">
        <f>IFERROR(VLOOKUP(Tableau_REF_SMMS[[#This Row],['#MS]],Tableau_REC_Mesures[#All],6,FALSE),0)</f>
        <v>0</v>
      </c>
      <c r="H209" s="144">
        <f>IF(VLOOKUP(D209,Tableau_REF_Mesures[],3,FALSE)="OUI",F209+(F209*G209),0)</f>
        <v>0.05</v>
      </c>
      <c r="I209" s="79">
        <f>VLOOKUP(D209,Tableau_REF_Mesures[],8,FALSE)*H209/IF(VLOOKUP(D209,Tableau_REF_Mesures[],6,FALSE)&gt;0,VLOOKUP(D209,Tableau_REF_Mesures[],6,FALSE),1)</f>
        <v>197.78756904093916</v>
      </c>
      <c r="K209" s="66"/>
    </row>
    <row r="210" spans="1:11" x14ac:dyDescent="0.2">
      <c r="A210" s="65" t="s">
        <v>74</v>
      </c>
      <c r="B210" s="39" t="str">
        <f>VLOOKUP(A210,Tableau_REF_Risques[],2,FALSE)</f>
        <v>Erreur humaine entrainant une fuite de données</v>
      </c>
      <c r="C210" s="39">
        <f>_xlfn.MAXIFS(Tableau_REF_SMSR[Vrais Retenue],Tableau_REF_SMSR['#SM],Tableau_REF_SMMS[[#This Row],['#SM]])</f>
        <v>4</v>
      </c>
      <c r="D210" s="66" t="s">
        <v>280</v>
      </c>
      <c r="E210" s="39" t="str">
        <f>VLOOKUP(D210,Tableau_REF_Mesures[],2,FALSE)</f>
        <v>Solution de sensibilisation et de formation</v>
      </c>
      <c r="F210" s="77">
        <v>0.125</v>
      </c>
      <c r="G210" s="143">
        <f>IFERROR(VLOOKUP(Tableau_REF_SMMS[[#This Row],['#MS]],Tableau_REC_Mesures[#All],6,FALSE),0)</f>
        <v>0</v>
      </c>
      <c r="H210" s="144">
        <f>IF(VLOOKUP(D210,Tableau_REF_Mesures[],3,FALSE)="OUI",F210+(F210*G210),0)</f>
        <v>0.125</v>
      </c>
      <c r="I210" s="79">
        <f>VLOOKUP(D210,Tableau_REF_Mesures[],8,FALSE)*H210/IF(VLOOKUP(D210,Tableau_REF_Mesures[],6,FALSE)&gt;0,VLOOKUP(D210,Tableau_REF_Mesures[],6,FALSE),1)</f>
        <v>3125.7778422897677</v>
      </c>
      <c r="K210" s="66"/>
    </row>
    <row r="211" spans="1:11" x14ac:dyDescent="0.2">
      <c r="A211" s="65" t="s">
        <v>74</v>
      </c>
      <c r="B211" s="39" t="str">
        <f>VLOOKUP(A211,Tableau_REF_Risques[],2,FALSE)</f>
        <v>Erreur humaine entrainant une fuite de données</v>
      </c>
      <c r="C211" s="39">
        <f>_xlfn.MAXIFS(Tableau_REF_SMSR[Vrais Retenue],Tableau_REF_SMSR['#SM],Tableau_REF_SMMS[[#This Row],['#SM]])</f>
        <v>4</v>
      </c>
      <c r="D211" s="66" t="s">
        <v>282</v>
      </c>
      <c r="E211" s="39" t="str">
        <f>VLOOKUP(D211,Tableau_REF_Mesures[],2,FALSE)</f>
        <v>Service de supervision de sécurité (SOC)</v>
      </c>
      <c r="F211" s="77">
        <v>7.4999999999999997E-2</v>
      </c>
      <c r="G211" s="143">
        <f>IFERROR(VLOOKUP(Tableau_REF_SMMS[[#This Row],['#MS]],Tableau_REC_Mesures[#All],6,FALSE),0)</f>
        <v>0</v>
      </c>
      <c r="H211" s="144">
        <f>IF(VLOOKUP(D211,Tableau_REF_Mesures[],3,FALSE)="OUI",F211+(F211*G211),0)</f>
        <v>7.4999999999999997E-2</v>
      </c>
      <c r="I211" s="79">
        <f>VLOOKUP(D211,Tableau_REF_Mesures[],8,FALSE)*H211/IF(VLOOKUP(D211,Tableau_REF_Mesures[],6,FALSE)&gt;0,VLOOKUP(D211,Tableau_REF_Mesures[],6,FALSE),1)</f>
        <v>2363.9541219534235</v>
      </c>
      <c r="K211" s="66"/>
    </row>
    <row r="212" spans="1:11" x14ac:dyDescent="0.2">
      <c r="A212" s="65" t="s">
        <v>74</v>
      </c>
      <c r="B212" s="39" t="str">
        <f>VLOOKUP(A212,Tableau_REF_Risques[],2,FALSE)</f>
        <v>Erreur humaine entrainant une fuite de données</v>
      </c>
      <c r="C212" s="39">
        <f>_xlfn.MAXIFS(Tableau_REF_SMSR[Vrais Retenue],Tableau_REF_SMSR['#SM],Tableau_REF_SMMS[[#This Row],['#SM]])</f>
        <v>4</v>
      </c>
      <c r="D212" s="66" t="s">
        <v>283</v>
      </c>
      <c r="E212" s="39" t="str">
        <f>VLOOKUP(D212,Tableau_REF_Mesures[],2,FALSE)</f>
        <v>Service de gestion des solutions de sécurité</v>
      </c>
      <c r="F212" s="77">
        <v>7.4999999999999997E-2</v>
      </c>
      <c r="G212" s="143">
        <f>IFERROR(VLOOKUP(Tableau_REF_SMMS[[#This Row],['#MS]],Tableau_REC_Mesures[#All],6,FALSE),0)</f>
        <v>0</v>
      </c>
      <c r="H212" s="144">
        <f>IF(VLOOKUP(D212,Tableau_REF_Mesures[],3,FALSE)="OUI",F212+(F212*G212),0)</f>
        <v>7.4999999999999997E-2</v>
      </c>
      <c r="I212" s="79"/>
      <c r="K212" s="66"/>
    </row>
    <row r="213" spans="1:11" x14ac:dyDescent="0.2">
      <c r="A213" s="65" t="s">
        <v>74</v>
      </c>
      <c r="B213" s="39" t="str">
        <f>VLOOKUP(A213,Tableau_REF_Risques[],2,FALSE)</f>
        <v>Erreur humaine entrainant une fuite de données</v>
      </c>
      <c r="C213" s="39">
        <f>_xlfn.MAXIFS(Tableau_REF_SMSR[Vrais Retenue],Tableau_REF_SMSR['#SM],Tableau_REF_SMMS[[#This Row],['#SM]])</f>
        <v>4</v>
      </c>
      <c r="D213" s="66" t="s">
        <v>286</v>
      </c>
      <c r="E213" s="39" t="str">
        <f>VLOOKUP(D213,Tableau_REF_Mesures[],2,FALSE)</f>
        <v>Service d'audit SSI</v>
      </c>
      <c r="F213" s="77">
        <v>7.4999999999999997E-2</v>
      </c>
      <c r="G213" s="143">
        <f>IFERROR(VLOOKUP(Tableau_REF_SMMS[[#This Row],['#MS]],Tableau_REC_Mesures[#All],6,FALSE),0)</f>
        <v>0</v>
      </c>
      <c r="H213" s="144">
        <f>IF(VLOOKUP(D213,Tableau_REF_Mesures[],3,FALSE)="OUI",F213+(F213*G213),0)</f>
        <v>7.4999999999999997E-2</v>
      </c>
      <c r="I213" s="79">
        <f>VLOOKUP(D213,Tableau_REF_Mesures[],8,FALSE)*H213/IF(VLOOKUP(D213,Tableau_REF_Mesures[],6,FALSE)&gt;0,VLOOKUP(D213,Tableau_REF_Mesures[],6,FALSE),1)</f>
        <v>4056.994868467767</v>
      </c>
      <c r="K213" s="66"/>
    </row>
    <row r="214" spans="1:11" x14ac:dyDescent="0.2">
      <c r="A214" s="65" t="s">
        <v>73</v>
      </c>
      <c r="B214" s="39" t="str">
        <f>VLOOKUP(A214,Tableau_REF_Risques[],2,FALSE)</f>
        <v>Erreur humaine entrainant une altération des services et/ou données</v>
      </c>
      <c r="C214" s="39">
        <f>_xlfn.MAXIFS(Tableau_REF_SMSR[Vrais Retenue],Tableau_REF_SMSR['#SM],Tableau_REF_SMMS[[#This Row],['#SM]])</f>
        <v>4</v>
      </c>
      <c r="D214" s="66" t="s">
        <v>276</v>
      </c>
      <c r="E214" s="39" t="str">
        <f>VLOOKUP(D214,Tableau_REF_Mesures[],2,FALSE)</f>
        <v>Solution de protection Cloud (CASB/CSPM)</v>
      </c>
      <c r="F214" s="143">
        <v>0.10526315789473685</v>
      </c>
      <c r="G214" s="143">
        <f>IFERROR(VLOOKUP(Tableau_REF_SMMS[[#This Row],['#MS]],Tableau_REC_Mesures[#All],6,FALSE),0)</f>
        <v>0</v>
      </c>
      <c r="H214" s="144">
        <f>IF(VLOOKUP(D214,Tableau_REF_Mesures[],3,FALSE)="OUI",F214+(F214*G214),0)</f>
        <v>0.10526315789473685</v>
      </c>
      <c r="I214" s="79">
        <f>VLOOKUP(D214,Tableau_REF_Mesures[],8,FALSE)*H214/IF(VLOOKUP(D214,Tableau_REF_Mesures[],6,FALSE)&gt;0,VLOOKUP(D214,Tableau_REF_Mesures[],6,FALSE),1)</f>
        <v>9450.0488122356019</v>
      </c>
    </row>
    <row r="215" spans="1:11" x14ac:dyDescent="0.2">
      <c r="A215" s="65" t="s">
        <v>73</v>
      </c>
      <c r="B215" s="39" t="str">
        <f>VLOOKUP(A215,Tableau_REF_Risques[],2,FALSE)</f>
        <v>Erreur humaine entrainant une altération des services et/ou données</v>
      </c>
      <c r="C215" s="39">
        <f>_xlfn.MAXIFS(Tableau_REF_SMSR[Vrais Retenue],Tableau_REF_SMSR['#SM],Tableau_REF_SMMS[[#This Row],['#SM]])</f>
        <v>4</v>
      </c>
      <c r="D215" s="66" t="s">
        <v>278</v>
      </c>
      <c r="E215" s="39" t="str">
        <f>VLOOKUP(D215,Tableau_REF_Mesures[],2,FALSE)</f>
        <v>Solution de collecte et de traitement des événements (SIEM)</v>
      </c>
      <c r="F215" s="143">
        <v>5.2631578947368425E-2</v>
      </c>
      <c r="G215" s="143">
        <f>IFERROR(VLOOKUP(Tableau_REF_SMMS[[#This Row],['#MS]],Tableau_REC_Mesures[#All],6,FALSE),0)</f>
        <v>0</v>
      </c>
      <c r="H215" s="144">
        <f>IF(VLOOKUP(D215,Tableau_REF_Mesures[],3,FALSE)="OUI",F215+(F215*G215),0)</f>
        <v>5.2631578947368425E-2</v>
      </c>
      <c r="I215" s="79">
        <f>VLOOKUP(D215,Tableau_REF_Mesures[],8,FALSE)*H215/IF(VLOOKUP(D215,Tableau_REF_Mesures[],6,FALSE)&gt;0,VLOOKUP(D215,Tableau_REF_Mesures[],6,FALSE),1)</f>
        <v>208.19744109572545</v>
      </c>
    </row>
    <row r="216" spans="1:11" x14ac:dyDescent="0.2">
      <c r="A216" s="65" t="s">
        <v>73</v>
      </c>
      <c r="B216" s="39" t="str">
        <f>VLOOKUP(A216,Tableau_REF_Risques[],2,FALSE)</f>
        <v>Erreur humaine entrainant une altération des services et/ou données</v>
      </c>
      <c r="C216" s="39">
        <f>_xlfn.MAXIFS(Tableau_REF_SMSR[Vrais Retenue],Tableau_REF_SMSR['#SM],Tableau_REF_SMMS[[#This Row],['#SM]])</f>
        <v>4</v>
      </c>
      <c r="D216" s="66" t="s">
        <v>279</v>
      </c>
      <c r="E216" s="39" t="str">
        <f>VLOOKUP(D216,Tableau_REF_Mesures[],2,FALSE)</f>
        <v>Solution de contrôle de configuration technique (ex Puppet,Ansible)</v>
      </c>
      <c r="F216" s="143">
        <v>0.2105263157894737</v>
      </c>
      <c r="G216" s="143">
        <f>IFERROR(VLOOKUP(Tableau_REF_SMMS[[#This Row],['#MS]],Tableau_REC_Mesures[#All],6,FALSE),0)</f>
        <v>0</v>
      </c>
      <c r="H216" s="144">
        <f>IF(VLOOKUP(D216,Tableau_REF_Mesures[],3,FALSE)="OUI",F216+(F216*G216),0)</f>
        <v>0.2105263157894737</v>
      </c>
      <c r="I216" s="79">
        <f>VLOOKUP(D216,Tableau_REF_Mesures[],8,FALSE)*H216/IF(VLOOKUP(D216,Tableau_REF_Mesures[],6,FALSE)&gt;0,VLOOKUP(D216,Tableau_REF_Mesures[],6,FALSE),1)</f>
        <v>5863.2524683717647</v>
      </c>
    </row>
    <row r="217" spans="1:11" x14ac:dyDescent="0.2">
      <c r="A217" s="65" t="s">
        <v>73</v>
      </c>
      <c r="B217" s="39" t="str">
        <f>VLOOKUP(A217,Tableau_REF_Risques[],2,FALSE)</f>
        <v>Erreur humaine entrainant une altération des services et/ou données</v>
      </c>
      <c r="C217" s="39">
        <f>_xlfn.MAXIFS(Tableau_REF_SMSR[Vrais Retenue],Tableau_REF_SMSR['#SM],Tableau_REF_SMMS[[#This Row],['#SM]])</f>
        <v>4</v>
      </c>
      <c r="D217" s="66" t="s">
        <v>280</v>
      </c>
      <c r="E217" s="39" t="str">
        <f>VLOOKUP(D217,Tableau_REF_Mesures[],2,FALSE)</f>
        <v>Solution de sensibilisation et de formation</v>
      </c>
      <c r="F217" s="143">
        <v>0.13157894736842105</v>
      </c>
      <c r="G217" s="143">
        <f>IFERROR(VLOOKUP(Tableau_REF_SMMS[[#This Row],['#MS]],Tableau_REC_Mesures[#All],6,FALSE),0)</f>
        <v>0</v>
      </c>
      <c r="H217" s="144">
        <f>IF(VLOOKUP(D217,Tableau_REF_Mesures[],3,FALSE)="OUI",F217+(F217*G217),0)</f>
        <v>0.13157894736842105</v>
      </c>
      <c r="I217" s="79">
        <f>VLOOKUP(D217,Tableau_REF_Mesures[],8,FALSE)*H217/IF(VLOOKUP(D217,Tableau_REF_Mesures[],6,FALSE)&gt;0,VLOOKUP(D217,Tableau_REF_Mesures[],6,FALSE),1)</f>
        <v>3290.2924655681763</v>
      </c>
    </row>
    <row r="218" spans="1:11" x14ac:dyDescent="0.2">
      <c r="A218" s="65" t="s">
        <v>73</v>
      </c>
      <c r="B218" s="39" t="str">
        <f>VLOOKUP(A218,Tableau_REF_Risques[],2,FALSE)</f>
        <v>Erreur humaine entrainant une altération des services et/ou données</v>
      </c>
      <c r="C218" s="39">
        <f>_xlfn.MAXIFS(Tableau_REF_SMSR[Vrais Retenue],Tableau_REF_SMSR['#SM],Tableau_REF_SMMS[[#This Row],['#SM]])</f>
        <v>4</v>
      </c>
      <c r="D218" s="66" t="s">
        <v>281</v>
      </c>
      <c r="E218" s="39" t="str">
        <f>VLOOKUP(D218,Tableau_REF_Mesures[],2,FALSE)</f>
        <v>Solution de gestion des sauvegardes</v>
      </c>
      <c r="F218" s="143">
        <v>0.13157894736842105</v>
      </c>
      <c r="G218" s="143">
        <f>IFERROR(VLOOKUP(Tableau_REF_SMMS[[#This Row],['#MS]],Tableau_REC_Mesures[#All],6,FALSE),0)</f>
        <v>0</v>
      </c>
      <c r="H218" s="144">
        <f>IF(VLOOKUP(D218,Tableau_REF_Mesures[],3,FALSE)="OUI",F218+(F218*G218),0)</f>
        <v>0.13157894736842105</v>
      </c>
      <c r="I218" s="79">
        <f>VLOOKUP(D218,Tableau_REF_Mesures[],8,FALSE)*H218/IF(VLOOKUP(D218,Tableau_REF_Mesures[],6,FALSE)&gt;0,VLOOKUP(D218,Tableau_REF_Mesures[],6,FALSE),1)</f>
        <v>17871.238283177106</v>
      </c>
    </row>
    <row r="219" spans="1:11" x14ac:dyDescent="0.2">
      <c r="A219" s="65" t="s">
        <v>73</v>
      </c>
      <c r="B219" s="39" t="str">
        <f>VLOOKUP(A219,Tableau_REF_Risques[],2,FALSE)</f>
        <v>Erreur humaine entrainant une altération des services et/ou données</v>
      </c>
      <c r="C219" s="39">
        <f>_xlfn.MAXIFS(Tableau_REF_SMSR[Vrais Retenue],Tableau_REF_SMSR['#SM],Tableau_REF_SMMS[[#This Row],['#SM]])</f>
        <v>4</v>
      </c>
      <c r="D219" s="66" t="s">
        <v>282</v>
      </c>
      <c r="E219" s="39" t="str">
        <f>VLOOKUP(D219,Tableau_REF_Mesures[],2,FALSE)</f>
        <v>Service de supervision de sécurité (SOC)</v>
      </c>
      <c r="F219" s="143">
        <v>7.8947368421052627E-2</v>
      </c>
      <c r="G219" s="143">
        <f>IFERROR(VLOOKUP(Tableau_REF_SMMS[[#This Row],['#MS]],Tableau_REC_Mesures[#All],6,FALSE),0)</f>
        <v>0</v>
      </c>
      <c r="H219" s="144">
        <f>IF(VLOOKUP(D219,Tableau_REF_Mesures[],3,FALSE)="OUI",F219+(F219*G219),0)</f>
        <v>7.8947368421052627E-2</v>
      </c>
      <c r="I219" s="79">
        <f>VLOOKUP(D219,Tableau_REF_Mesures[],8,FALSE)*H219/IF(VLOOKUP(D219,Tableau_REF_Mesures[],6,FALSE)&gt;0,VLOOKUP(D219,Tableau_REF_Mesures[],6,FALSE),1)</f>
        <v>2488.3727599509721</v>
      </c>
    </row>
    <row r="220" spans="1:11" x14ac:dyDescent="0.2">
      <c r="A220" s="65" t="s">
        <v>73</v>
      </c>
      <c r="B220" s="39" t="str">
        <f>VLOOKUP(A220,Tableau_REF_Risques[],2,FALSE)</f>
        <v>Erreur humaine entrainant une altération des services et/ou données</v>
      </c>
      <c r="C220" s="39">
        <f>_xlfn.MAXIFS(Tableau_REF_SMSR[Vrais Retenue],Tableau_REF_SMSR['#SM],Tableau_REF_SMMS[[#This Row],['#SM]])</f>
        <v>4</v>
      </c>
      <c r="D220" s="66" t="s">
        <v>283</v>
      </c>
      <c r="E220" s="39" t="str">
        <f>VLOOKUP(D220,Tableau_REF_Mesures[],2,FALSE)</f>
        <v>Service de gestion des solutions de sécurité</v>
      </c>
      <c r="F220" s="143">
        <v>0.2105263157894737</v>
      </c>
      <c r="G220" s="143">
        <f>IFERROR(VLOOKUP(Tableau_REF_SMMS[[#This Row],['#MS]],Tableau_REC_Mesures[#All],6,FALSE),0)</f>
        <v>0</v>
      </c>
      <c r="H220" s="144">
        <f>IF(VLOOKUP(D220,Tableau_REF_Mesures[],3,FALSE)="OUI",F220+(F220*G220),0)</f>
        <v>0.2105263157894737</v>
      </c>
      <c r="I220" s="79"/>
    </row>
    <row r="221" spans="1:11" x14ac:dyDescent="0.2">
      <c r="A221" s="65" t="s">
        <v>73</v>
      </c>
      <c r="B221" s="39" t="str">
        <f>VLOOKUP(A221,Tableau_REF_Risques[],2,FALSE)</f>
        <v>Erreur humaine entrainant une altération des services et/ou données</v>
      </c>
      <c r="C221" s="39">
        <f>_xlfn.MAXIFS(Tableau_REF_SMSR[Vrais Retenue],Tableau_REF_SMSR['#SM],Tableau_REF_SMMS[[#This Row],['#SM]])</f>
        <v>4</v>
      </c>
      <c r="D221" s="66" t="s">
        <v>286</v>
      </c>
      <c r="E221" s="39" t="str">
        <f>VLOOKUP(D221,Tableau_REF_Mesures[],2,FALSE)</f>
        <v>Service d'audit SSI</v>
      </c>
      <c r="F221" s="143">
        <v>7.8947368421052627E-2</v>
      </c>
      <c r="G221" s="143">
        <f>IFERROR(VLOOKUP(Tableau_REF_SMMS[[#This Row],['#MS]],Tableau_REC_Mesures[#All],6,FALSE),0)</f>
        <v>0</v>
      </c>
      <c r="H221" s="144">
        <f>IF(VLOOKUP(D221,Tableau_REF_Mesures[],3,FALSE)="OUI",F221+(F221*G221),0)</f>
        <v>7.8947368421052627E-2</v>
      </c>
      <c r="I221" s="79">
        <f>VLOOKUP(D221,Tableau_REF_Mesures[],8,FALSE)*H221/IF(VLOOKUP(D221,Tableau_REF_Mesures[],6,FALSE)&gt;0,VLOOKUP(D221,Tableau_REF_Mesures[],6,FALSE),1)</f>
        <v>4270.5209141765963</v>
      </c>
    </row>
    <row r="222" spans="1:11" x14ac:dyDescent="0.2">
      <c r="A222" s="65" t="s">
        <v>72</v>
      </c>
      <c r="B222" s="39" t="str">
        <f>VLOOKUP(A222,Tableau_REF_Risques[],2,FALSE)</f>
        <v>Erreur humaine entrainant une indisponibilité des services</v>
      </c>
      <c r="C222" s="39">
        <f>_xlfn.MAXIFS(Tableau_REF_SMSR[Vrais Retenue],Tableau_REF_SMSR['#SM],Tableau_REF_SMMS[[#This Row],['#SM]])</f>
        <v>2</v>
      </c>
      <c r="D222" s="66" t="s">
        <v>276</v>
      </c>
      <c r="E222" s="39" t="str">
        <f>VLOOKUP(D222,Tableau_REF_Mesures[],2,FALSE)</f>
        <v>Solution de protection Cloud (CASB/CSPM)</v>
      </c>
      <c r="F222" s="143">
        <v>0.15151515151515152</v>
      </c>
      <c r="G222" s="143">
        <f>IFERROR(VLOOKUP(Tableau_REF_SMMS[[#This Row],['#MS]],Tableau_REC_Mesures[#All],6,FALSE),0)</f>
        <v>0</v>
      </c>
      <c r="H222" s="144">
        <f>IF(VLOOKUP(D222,Tableau_REF_Mesures[],3,FALSE)="OUI",F222+(F222*G222),0)</f>
        <v>0.15151515151515152</v>
      </c>
      <c r="I222" s="79">
        <f>VLOOKUP(D222,Tableau_REF_Mesures[],8,FALSE)*H222/IF(VLOOKUP(D222,Tableau_REF_Mesures[],6,FALSE)&gt;0,VLOOKUP(D222,Tableau_REF_Mesures[],6,FALSE),1)</f>
        <v>13602.342987308819</v>
      </c>
    </row>
    <row r="223" spans="1:11" x14ac:dyDescent="0.2">
      <c r="A223" s="65" t="s">
        <v>72</v>
      </c>
      <c r="B223" s="39" t="str">
        <f>VLOOKUP(A223,Tableau_REF_Risques[],2,FALSE)</f>
        <v>Erreur humaine entrainant une indisponibilité des services</v>
      </c>
      <c r="C223" s="39">
        <f>_xlfn.MAXIFS(Tableau_REF_SMSR[Vrais Retenue],Tableau_REF_SMSR['#SM],Tableau_REF_SMMS[[#This Row],['#SM]])</f>
        <v>2</v>
      </c>
      <c r="D223" s="66" t="s">
        <v>278</v>
      </c>
      <c r="E223" s="39" t="str">
        <f>VLOOKUP(D223,Tableau_REF_Mesures[],2,FALSE)</f>
        <v>Solution de collecte et de traitement des événements (SIEM)</v>
      </c>
      <c r="F223" s="143">
        <v>6.0606060606060615E-2</v>
      </c>
      <c r="G223" s="143">
        <f>IFERROR(VLOOKUP(Tableau_REF_SMMS[[#This Row],['#MS]],Tableau_REC_Mesures[#All],6,FALSE),0)</f>
        <v>0</v>
      </c>
      <c r="H223" s="144">
        <f>IF(VLOOKUP(D223,Tableau_REF_Mesures[],3,FALSE)="OUI",F223+(F223*G223),0)</f>
        <v>6.0606060606060615E-2</v>
      </c>
      <c r="I223" s="79">
        <f>VLOOKUP(D223,Tableau_REF_Mesures[],8,FALSE)*H223/IF(VLOOKUP(D223,Tableau_REF_Mesures[],6,FALSE)&gt;0,VLOOKUP(D223,Tableau_REF_Mesures[],6,FALSE),1)</f>
        <v>239.74250792841116</v>
      </c>
    </row>
    <row r="224" spans="1:11" x14ac:dyDescent="0.2">
      <c r="A224" s="65" t="s">
        <v>72</v>
      </c>
      <c r="B224" s="39" t="str">
        <f>VLOOKUP(A224,Tableau_REF_Risques[],2,FALSE)</f>
        <v>Erreur humaine entrainant une indisponibilité des services</v>
      </c>
      <c r="C224" s="39">
        <f>_xlfn.MAXIFS(Tableau_REF_SMSR[Vrais Retenue],Tableau_REF_SMSR['#SM],Tableau_REF_SMMS[[#This Row],['#SM]])</f>
        <v>2</v>
      </c>
      <c r="D224" s="66" t="s">
        <v>279</v>
      </c>
      <c r="E224" s="39" t="str">
        <f>VLOOKUP(D224,Tableau_REF_Mesures[],2,FALSE)</f>
        <v>Solution de contrôle de configuration technique (ex Puppet,Ansible)</v>
      </c>
      <c r="F224" s="143">
        <v>0.15151515151515152</v>
      </c>
      <c r="G224" s="143">
        <f>IFERROR(VLOOKUP(Tableau_REF_SMMS[[#This Row],['#MS]],Tableau_REC_Mesures[#All],6,FALSE),0)</f>
        <v>0</v>
      </c>
      <c r="H224" s="144">
        <f>IF(VLOOKUP(D224,Tableau_REF_Mesures[],3,FALSE)="OUI",F224+(F224*G224),0)</f>
        <v>0.15151515151515152</v>
      </c>
      <c r="I224" s="79">
        <f>VLOOKUP(D224,Tableau_REF_Mesures[],8,FALSE)*H224/IF(VLOOKUP(D224,Tableau_REF_Mesures[],6,FALSE)&gt;0,VLOOKUP(D224,Tableau_REF_Mesures[],6,FALSE),1)</f>
        <v>4219.7650340554364</v>
      </c>
    </row>
    <row r="225" spans="1:9" x14ac:dyDescent="0.2">
      <c r="A225" s="65" t="s">
        <v>72</v>
      </c>
      <c r="B225" s="39" t="str">
        <f>VLOOKUP(A225,Tableau_REF_Risques[],2,FALSE)</f>
        <v>Erreur humaine entrainant une indisponibilité des services</v>
      </c>
      <c r="C225" s="39">
        <f>_xlfn.MAXIFS(Tableau_REF_SMSR[Vrais Retenue],Tableau_REF_SMSR['#SM],Tableau_REF_SMMS[[#This Row],['#SM]])</f>
        <v>2</v>
      </c>
      <c r="D225" s="66" t="s">
        <v>280</v>
      </c>
      <c r="E225" s="39" t="str">
        <f>VLOOKUP(D225,Tableau_REF_Mesures[],2,FALSE)</f>
        <v>Solution de sensibilisation et de formation</v>
      </c>
      <c r="F225" s="143">
        <v>0.15151515151515152</v>
      </c>
      <c r="G225" s="143">
        <f>IFERROR(VLOOKUP(Tableau_REF_SMMS[[#This Row],['#MS]],Tableau_REC_Mesures[#All],6,FALSE),0)</f>
        <v>0</v>
      </c>
      <c r="H225" s="144">
        <f>IF(VLOOKUP(D225,Tableau_REF_Mesures[],3,FALSE)="OUI",F225+(F225*G225),0)</f>
        <v>0.15151515151515152</v>
      </c>
      <c r="I225" s="79">
        <f>VLOOKUP(D225,Tableau_REF_Mesures[],8,FALSE)*H225/IF(VLOOKUP(D225,Tableau_REF_Mesures[],6,FALSE)&gt;0,VLOOKUP(D225,Tableau_REF_Mesures[],6,FALSE),1)</f>
        <v>3788.8216270179005</v>
      </c>
    </row>
    <row r="226" spans="1:9" x14ac:dyDescent="0.2">
      <c r="A226" s="65" t="s">
        <v>72</v>
      </c>
      <c r="B226" s="39" t="str">
        <f>VLOOKUP(A226,Tableau_REF_Risques[],2,FALSE)</f>
        <v>Erreur humaine entrainant une indisponibilité des services</v>
      </c>
      <c r="C226" s="39">
        <f>_xlfn.MAXIFS(Tableau_REF_SMSR[Vrais Retenue],Tableau_REF_SMSR['#SM],Tableau_REF_SMMS[[#This Row],['#SM]])</f>
        <v>2</v>
      </c>
      <c r="D226" s="66" t="s">
        <v>282</v>
      </c>
      <c r="E226" s="39" t="str">
        <f>VLOOKUP(D226,Tableau_REF_Mesures[],2,FALSE)</f>
        <v>Service de supervision de sécurité (SOC)</v>
      </c>
      <c r="F226" s="143">
        <v>9.0909090909090912E-2</v>
      </c>
      <c r="G226" s="143">
        <f>IFERROR(VLOOKUP(Tableau_REF_SMMS[[#This Row],['#MS]],Tableau_REC_Mesures[#All],6,FALSE),0)</f>
        <v>0</v>
      </c>
      <c r="H226" s="144">
        <f>IF(VLOOKUP(D226,Tableau_REF_Mesures[],3,FALSE)="OUI",F226+(F226*G226),0)</f>
        <v>9.0909090909090912E-2</v>
      </c>
      <c r="I226" s="79">
        <f>VLOOKUP(D226,Tableau_REF_Mesures[],8,FALSE)*H226/IF(VLOOKUP(D226,Tableau_REF_Mesures[],6,FALSE)&gt;0,VLOOKUP(D226,Tableau_REF_Mesures[],6,FALSE),1)</f>
        <v>2865.3989357011196</v>
      </c>
    </row>
    <row r="227" spans="1:9" x14ac:dyDescent="0.2">
      <c r="A227" s="65" t="s">
        <v>72</v>
      </c>
      <c r="B227" s="39" t="str">
        <f>VLOOKUP(A227,Tableau_REF_Risques[],2,FALSE)</f>
        <v>Erreur humaine entrainant une indisponibilité des services</v>
      </c>
      <c r="C227" s="39">
        <f>_xlfn.MAXIFS(Tableau_REF_SMSR[Vrais Retenue],Tableau_REF_SMSR['#SM],Tableau_REF_SMMS[[#This Row],['#SM]])</f>
        <v>2</v>
      </c>
      <c r="D227" s="66" t="s">
        <v>283</v>
      </c>
      <c r="E227" s="39" t="str">
        <f>VLOOKUP(D227,Tableau_REF_Mesures[],2,FALSE)</f>
        <v>Service de gestion des solutions de sécurité</v>
      </c>
      <c r="F227" s="143">
        <v>0.15151515151515152</v>
      </c>
      <c r="G227" s="143">
        <f>IFERROR(VLOOKUP(Tableau_REF_SMMS[[#This Row],['#MS]],Tableau_REC_Mesures[#All],6,FALSE),0)</f>
        <v>0</v>
      </c>
      <c r="H227" s="144">
        <f>IF(VLOOKUP(D227,Tableau_REF_Mesures[],3,FALSE)="OUI",F227+(F227*G227),0)</f>
        <v>0.15151515151515152</v>
      </c>
      <c r="I227" s="79"/>
    </row>
    <row r="228" spans="1:9" x14ac:dyDescent="0.2">
      <c r="A228" s="65" t="s">
        <v>72</v>
      </c>
      <c r="B228" s="39" t="str">
        <f>VLOOKUP(A228,Tableau_REF_Risques[],2,FALSE)</f>
        <v>Erreur humaine entrainant une indisponibilité des services</v>
      </c>
      <c r="C228" s="39">
        <f>_xlfn.MAXIFS(Tableau_REF_SMSR[Vrais Retenue],Tableau_REF_SMSR['#SM],Tableau_REF_SMMS[[#This Row],['#SM]])</f>
        <v>2</v>
      </c>
      <c r="D228" s="66" t="s">
        <v>289</v>
      </c>
      <c r="E228" s="39" t="str">
        <f>VLOOKUP(D228,Tableau_REF_Mesures[],2,FALSE)</f>
        <v>Service de gestion de la continuité</v>
      </c>
      <c r="F228" s="143">
        <v>0.24242424242424246</v>
      </c>
      <c r="G228" s="143">
        <f>IFERROR(VLOOKUP(Tableau_REF_SMMS[[#This Row],['#MS]],Tableau_REC_Mesures[#All],6,FALSE),0)</f>
        <v>0</v>
      </c>
      <c r="H228" s="144">
        <f>IF(VLOOKUP(D228,Tableau_REF_Mesures[],3,FALSE)="OUI",F228+(F228*G228),0)</f>
        <v>0.24242424242424246</v>
      </c>
      <c r="I228" s="79">
        <f>VLOOKUP(D228,Tableau_REF_Mesures[],8,FALSE)*H228/IF(VLOOKUP(D228,Tableau_REF_Mesures[],6,FALSE)&gt;0,VLOOKUP(D228,Tableau_REF_Mesures[],6,FALSE),1)</f>
        <v>28649.735063036729</v>
      </c>
    </row>
    <row r="229" spans="1:9" x14ac:dyDescent="0.2">
      <c r="A229" s="65" t="s">
        <v>78</v>
      </c>
      <c r="B229" s="39" t="str">
        <f>VLOOKUP(A229,Tableau_REF_Risques[],2,FALSE)</f>
        <v>Incapacité à détecter un incident de sécurité et à fournir une piste d'audit post-mortem</v>
      </c>
      <c r="C229" s="39">
        <f>_xlfn.MAXIFS(Tableau_REF_SMSR[Vrais Retenue],Tableau_REF_SMSR['#SM],Tableau_REF_SMMS[[#This Row],['#SM]])</f>
        <v>2</v>
      </c>
      <c r="D229" s="66" t="s">
        <v>278</v>
      </c>
      <c r="E229" s="39" t="str">
        <f>VLOOKUP(D229,Tableau_REF_Mesures[],2,FALSE)</f>
        <v>Solution de collecte et de traitement des événements (SIEM)</v>
      </c>
      <c r="F229" s="143">
        <v>0.23529411764705885</v>
      </c>
      <c r="G229" s="143">
        <f>IFERROR(VLOOKUP(Tableau_REF_SMMS[[#This Row],['#MS]],Tableau_REC_Mesures[#All],6,FALSE),0)</f>
        <v>0</v>
      </c>
      <c r="H229" s="144">
        <f>IF(VLOOKUP(D229,Tableau_REF_Mesures[],3,FALSE)="OUI",F229+(F229*G229),0)</f>
        <v>0.23529411764705885</v>
      </c>
      <c r="I229" s="79">
        <f>VLOOKUP(D229,Tableau_REF_Mesures[],8,FALSE)*H229/IF(VLOOKUP(D229,Tableau_REF_Mesures[],6,FALSE)&gt;0,VLOOKUP(D229,Tableau_REF_Mesures[],6,FALSE),1)</f>
        <v>930.76503078089024</v>
      </c>
    </row>
    <row r="230" spans="1:9" x14ac:dyDescent="0.2">
      <c r="A230" s="65" t="s">
        <v>78</v>
      </c>
      <c r="B230" s="39" t="str">
        <f>VLOOKUP(A230,Tableau_REF_Risques[],2,FALSE)</f>
        <v>Incapacité à détecter un incident de sécurité et à fournir une piste d'audit post-mortem</v>
      </c>
      <c r="C230" s="39">
        <f>_xlfn.MAXIFS(Tableau_REF_SMSR[Vrais Retenue],Tableau_REF_SMSR['#SM],Tableau_REF_SMMS[[#This Row],['#SM]])</f>
        <v>2</v>
      </c>
      <c r="D230" s="66" t="s">
        <v>282</v>
      </c>
      <c r="E230" s="39" t="str">
        <f>VLOOKUP(D230,Tableau_REF_Mesures[],2,FALSE)</f>
        <v>Service de supervision de sécurité (SOC)</v>
      </c>
      <c r="F230" s="143">
        <v>0.26470588235294118</v>
      </c>
      <c r="G230" s="143">
        <f>IFERROR(VLOOKUP(Tableau_REF_SMMS[[#This Row],['#MS]],Tableau_REC_Mesures[#All],6,FALSE),0)</f>
        <v>0</v>
      </c>
      <c r="H230" s="144">
        <f>IF(VLOOKUP(D230,Tableau_REF_Mesures[],3,FALSE)="OUI",F230+(F230*G230),0)</f>
        <v>0.26470588235294118</v>
      </c>
      <c r="I230" s="79">
        <f>VLOOKUP(D230,Tableau_REF_Mesures[],8,FALSE)*H230/IF(VLOOKUP(D230,Tableau_REF_Mesures[],6,FALSE)&gt;0,VLOOKUP(D230,Tableau_REF_Mesures[],6,FALSE),1)</f>
        <v>8343.3674892473773</v>
      </c>
    </row>
    <row r="231" spans="1:9" x14ac:dyDescent="0.2">
      <c r="A231" s="65" t="s">
        <v>78</v>
      </c>
      <c r="B231" s="39" t="str">
        <f>VLOOKUP(A231,Tableau_REF_Risques[],2,FALSE)</f>
        <v>Incapacité à détecter un incident de sécurité et à fournir une piste d'audit post-mortem</v>
      </c>
      <c r="C231" s="39">
        <f>_xlfn.MAXIFS(Tableau_REF_SMSR[Vrais Retenue],Tableau_REF_SMSR['#SM],Tableau_REF_SMMS[[#This Row],['#SM]])</f>
        <v>2</v>
      </c>
      <c r="D231" s="66" t="s">
        <v>283</v>
      </c>
      <c r="E231" s="39" t="str">
        <f>VLOOKUP(D231,Tableau_REF_Mesures[],2,FALSE)</f>
        <v>Service de gestion des solutions de sécurité</v>
      </c>
      <c r="F231" s="143">
        <v>0.17647058823529413</v>
      </c>
      <c r="G231" s="143">
        <f>IFERROR(VLOOKUP(Tableau_REF_SMMS[[#This Row],['#MS]],Tableau_REC_Mesures[#All],6,FALSE),0)</f>
        <v>0</v>
      </c>
      <c r="H231" s="144">
        <f>IF(VLOOKUP(D231,Tableau_REF_Mesures[],3,FALSE)="OUI",F231+(F231*G231),0)</f>
        <v>0.17647058823529413</v>
      </c>
      <c r="I231" s="79"/>
    </row>
    <row r="232" spans="1:9" x14ac:dyDescent="0.2">
      <c r="A232" s="65" t="s">
        <v>78</v>
      </c>
      <c r="B232" s="39" t="str">
        <f>VLOOKUP(A232,Tableau_REF_Risques[],2,FALSE)</f>
        <v>Incapacité à détecter un incident de sécurité et à fournir une piste d'audit post-mortem</v>
      </c>
      <c r="C232" s="39">
        <f>_xlfn.MAXIFS(Tableau_REF_SMSR[Vrais Retenue],Tableau_REF_SMSR['#SM],Tableau_REF_SMMS[[#This Row],['#SM]])</f>
        <v>2</v>
      </c>
      <c r="D232" s="66" t="s">
        <v>284</v>
      </c>
      <c r="E232" s="39" t="str">
        <f>VLOOKUP(D232,Tableau_REF_Mesures[],2,FALSE)</f>
        <v>Service de Veille et de réponse à incidents (CERT/CSIRT)</v>
      </c>
      <c r="F232" s="143">
        <v>0.23529411764705885</v>
      </c>
      <c r="G232" s="143">
        <f>IFERROR(VLOOKUP(Tableau_REF_SMMS[[#This Row],['#MS]],Tableau_REC_Mesures[#All],6,FALSE),0)</f>
        <v>0</v>
      </c>
      <c r="H232" s="144">
        <f>IF(VLOOKUP(D232,Tableau_REF_Mesures[],3,FALSE)="OUI",F232+(F232*G232),0)</f>
        <v>0.23529411764705885</v>
      </c>
      <c r="I232" s="79">
        <f>VLOOKUP(D232,Tableau_REF_Mesures[],8,FALSE)*H232/IF(VLOOKUP(D232,Tableau_REF_Mesures[],6,FALSE)&gt;0,VLOOKUP(D232,Tableau_REF_Mesures[],6,FALSE),1)</f>
        <v>15030.390956956588</v>
      </c>
    </row>
    <row r="233" spans="1:9" x14ac:dyDescent="0.2">
      <c r="A233" s="65" t="s">
        <v>78</v>
      </c>
      <c r="B233" s="39" t="str">
        <f>VLOOKUP(A233,Tableau_REF_Risques[],2,FALSE)</f>
        <v>Incapacité à détecter un incident de sécurité et à fournir une piste d'audit post-mortem</v>
      </c>
      <c r="C233" s="39">
        <f>_xlfn.MAXIFS(Tableau_REF_SMSR[Vrais Retenue],Tableau_REF_SMSR['#SM],Tableau_REF_SMMS[[#This Row],['#SM]])</f>
        <v>2</v>
      </c>
      <c r="D233" s="66" t="s">
        <v>288</v>
      </c>
      <c r="E233" s="39" t="str">
        <f>VLOOKUP(D233,Tableau_REF_Mesures[],2,FALSE)</f>
        <v>Service de gestion de la gouvernance et des risques</v>
      </c>
      <c r="F233" s="143">
        <v>8.8235294117647065E-2</v>
      </c>
      <c r="G233" s="143">
        <f>IFERROR(VLOOKUP(Tableau_REF_SMMS[[#This Row],['#MS]],Tableau_REC_Mesures[#All],6,FALSE),0)</f>
        <v>0</v>
      </c>
      <c r="H233" s="144">
        <f>IF(VLOOKUP(D233,Tableau_REF_Mesures[],3,FALSE)="OUI",F233+(F233*G233),0)</f>
        <v>8.8235294117647065E-2</v>
      </c>
      <c r="I233" s="79">
        <f>VLOOKUP(D233,Tableau_REF_Mesures[],8,FALSE)*H233/IF(VLOOKUP(D233,Tableau_REF_Mesures[],6,FALSE)&gt;0,VLOOKUP(D233,Tableau_REF_Mesures[],6,FALSE),1)</f>
        <v>8952.3036416335872</v>
      </c>
    </row>
    <row r="234" spans="1:9" x14ac:dyDescent="0.2">
      <c r="A234" s="65" t="s">
        <v>77</v>
      </c>
      <c r="B234" s="39" t="str">
        <f>VLOOKUP(A234,Tableau_REF_Risques[],2,FALSE)</f>
        <v>Déploiement en production de codes applicatifs vulnérables</v>
      </c>
      <c r="C234" s="39">
        <f>_xlfn.MAXIFS(Tableau_REF_SMSR[Vrais Retenue],Tableau_REF_SMSR['#SM],Tableau_REF_SMMS[[#This Row],['#SM]])</f>
        <v>2</v>
      </c>
      <c r="D234" s="66" t="s">
        <v>265</v>
      </c>
      <c r="E234" s="39" t="str">
        <f>VLOOKUP(D234,Tableau_REF_Mesures[],2,FALSE)</f>
        <v>Solution de détection et de gestion des vulnérabilités</v>
      </c>
      <c r="F234" s="143">
        <v>0.15384615384615385</v>
      </c>
      <c r="G234" s="143">
        <f>IFERROR(VLOOKUP(Tableau_REF_SMMS[[#This Row],['#MS]],Tableau_REC_Mesures[#All],6,FALSE),0)</f>
        <v>0</v>
      </c>
      <c r="H234" s="144">
        <f>IF(VLOOKUP(D234,Tableau_REF_Mesures[],3,FALSE)="OUI",F234+(F234*G234),0)</f>
        <v>0.15384615384615385</v>
      </c>
      <c r="I234" s="79">
        <f>VLOOKUP(D234,Tableau_REF_Mesures[],8,FALSE)*H234/IF(VLOOKUP(D234,Tableau_REF_Mesures[],6,FALSE)&gt;0,VLOOKUP(D234,Tableau_REF_Mesures[],6,FALSE),1)</f>
        <v>7124.9062552611849</v>
      </c>
    </row>
    <row r="235" spans="1:9" x14ac:dyDescent="0.2">
      <c r="A235" s="65" t="s">
        <v>77</v>
      </c>
      <c r="B235" s="39" t="str">
        <f>VLOOKUP(A235,Tableau_REF_Risques[],2,FALSE)</f>
        <v>Déploiement en production de codes applicatifs vulnérables</v>
      </c>
      <c r="C235" s="39">
        <f>_xlfn.MAXIFS(Tableau_REF_SMSR[Vrais Retenue],Tableau_REF_SMSR['#SM],Tableau_REF_SMMS[[#This Row],['#SM]])</f>
        <v>2</v>
      </c>
      <c r="D235" s="66" t="s">
        <v>266</v>
      </c>
      <c r="E235" s="39" t="str">
        <f>VLOOKUP(D235,Tableau_REF_Mesures[],2,FALSE)</f>
        <v>Solution d'analyse de code applicatif (AST)</v>
      </c>
      <c r="F235" s="143">
        <v>0.20512820512820515</v>
      </c>
      <c r="G235" s="143">
        <f>IFERROR(VLOOKUP(Tableau_REF_SMMS[[#This Row],['#MS]],Tableau_REC_Mesures[#All],6,FALSE),0)</f>
        <v>0</v>
      </c>
      <c r="H235" s="144">
        <f>IF(VLOOKUP(D235,Tableau_REF_Mesures[],3,FALSE)="OUI",F235+(F235*G235),0)</f>
        <v>0.20512820512820515</v>
      </c>
      <c r="I235" s="79">
        <f>VLOOKUP(D235,Tableau_REF_Mesures[],8,FALSE)*H235/IF(VLOOKUP(D235,Tableau_REF_Mesures[],6,FALSE)&gt;0,VLOOKUP(D235,Tableau_REF_Mesures[],6,FALSE),1)</f>
        <v>64946.808510638301</v>
      </c>
    </row>
    <row r="236" spans="1:9" x14ac:dyDescent="0.2">
      <c r="A236" s="65" t="s">
        <v>77</v>
      </c>
      <c r="B236" s="39" t="str">
        <f>VLOOKUP(A236,Tableau_REF_Risques[],2,FALSE)</f>
        <v>Déploiement en production de codes applicatifs vulnérables</v>
      </c>
      <c r="C236" s="39">
        <f>_xlfn.MAXIFS(Tableau_REF_SMSR[Vrais Retenue],Tableau_REF_SMSR['#SM],Tableau_REF_SMMS[[#This Row],['#SM]])</f>
        <v>2</v>
      </c>
      <c r="D236" s="66" t="s">
        <v>278</v>
      </c>
      <c r="E236" s="39" t="str">
        <f>VLOOKUP(D236,Tableau_REF_Mesures[],2,FALSE)</f>
        <v>Solution de collecte et de traitement des événements (SIEM)</v>
      </c>
      <c r="F236" s="143">
        <v>5.1282051282051287E-2</v>
      </c>
      <c r="G236" s="143">
        <f>IFERROR(VLOOKUP(Tableau_REF_SMMS[[#This Row],['#MS]],Tableau_REC_Mesures[#All],6,FALSE),0)</f>
        <v>0</v>
      </c>
      <c r="H236" s="144">
        <f>IF(VLOOKUP(D236,Tableau_REF_Mesures[],3,FALSE)="OUI",F236+(F236*G236),0)</f>
        <v>5.1282051282051287E-2</v>
      </c>
      <c r="I236" s="79">
        <f>VLOOKUP(D236,Tableau_REF_Mesures[],8,FALSE)*H236/IF(VLOOKUP(D236,Tableau_REF_Mesures[],6,FALSE)&gt;0,VLOOKUP(D236,Tableau_REF_Mesures[],6,FALSE),1)</f>
        <v>202.85904517019404</v>
      </c>
    </row>
    <row r="237" spans="1:9" x14ac:dyDescent="0.2">
      <c r="A237" s="65" t="s">
        <v>77</v>
      </c>
      <c r="B237" s="39" t="str">
        <f>VLOOKUP(A237,Tableau_REF_Risques[],2,FALSE)</f>
        <v>Déploiement en production de codes applicatifs vulnérables</v>
      </c>
      <c r="C237" s="39">
        <f>_xlfn.MAXIFS(Tableau_REF_SMSR[Vrais Retenue],Tableau_REF_SMSR['#SM],Tableau_REF_SMMS[[#This Row],['#SM]])</f>
        <v>2</v>
      </c>
      <c r="D237" s="66" t="s">
        <v>282</v>
      </c>
      <c r="E237" s="39" t="str">
        <f>VLOOKUP(D237,Tableau_REF_Mesures[],2,FALSE)</f>
        <v>Service de supervision de sécurité (SOC)</v>
      </c>
      <c r="F237" s="143">
        <v>7.6923076923076927E-2</v>
      </c>
      <c r="G237" s="143">
        <f>IFERROR(VLOOKUP(Tableau_REF_SMMS[[#This Row],['#MS]],Tableau_REC_Mesures[#All],6,FALSE),0)</f>
        <v>0</v>
      </c>
      <c r="H237" s="144">
        <f>IF(VLOOKUP(D237,Tableau_REF_Mesures[],3,FALSE)="OUI",F237+(F237*G237),0)</f>
        <v>7.6923076923076927E-2</v>
      </c>
      <c r="I237" s="79">
        <f>VLOOKUP(D237,Tableau_REF_Mesures[],8,FALSE)*H237/IF(VLOOKUP(D237,Tableau_REF_Mesures[],6,FALSE)&gt;0,VLOOKUP(D237,Tableau_REF_Mesures[],6,FALSE),1)</f>
        <v>2424.5683302086395</v>
      </c>
    </row>
    <row r="238" spans="1:9" x14ac:dyDescent="0.2">
      <c r="A238" s="65" t="s">
        <v>77</v>
      </c>
      <c r="B238" s="39" t="str">
        <f>VLOOKUP(A238,Tableau_REF_Risques[],2,FALSE)</f>
        <v>Déploiement en production de codes applicatifs vulnérables</v>
      </c>
      <c r="C238" s="39">
        <f>_xlfn.MAXIFS(Tableau_REF_SMSR[Vrais Retenue],Tableau_REF_SMSR['#SM],Tableau_REF_SMMS[[#This Row],['#SM]])</f>
        <v>2</v>
      </c>
      <c r="D238" s="66" t="s">
        <v>283</v>
      </c>
      <c r="E238" s="39" t="str">
        <f>VLOOKUP(D238,Tableau_REF_Mesures[],2,FALSE)</f>
        <v>Service de gestion des solutions de sécurité</v>
      </c>
      <c r="F238" s="143">
        <v>7.6923076923076927E-2</v>
      </c>
      <c r="G238" s="143">
        <f>IFERROR(VLOOKUP(Tableau_REF_SMMS[[#This Row],['#MS]],Tableau_REC_Mesures[#All],6,FALSE),0)</f>
        <v>0</v>
      </c>
      <c r="H238" s="144">
        <f>IF(VLOOKUP(D238,Tableau_REF_Mesures[],3,FALSE)="OUI",F238+(F238*G238),0)</f>
        <v>7.6923076923076927E-2</v>
      </c>
      <c r="I238" s="79"/>
    </row>
    <row r="239" spans="1:9" x14ac:dyDescent="0.2">
      <c r="A239" s="65" t="s">
        <v>77</v>
      </c>
      <c r="B239" s="39" t="str">
        <f>VLOOKUP(A239,Tableau_REF_Risques[],2,FALSE)</f>
        <v>Déploiement en production de codes applicatifs vulnérables</v>
      </c>
      <c r="C239" s="39">
        <f>_xlfn.MAXIFS(Tableau_REF_SMSR[Vrais Retenue],Tableau_REF_SMSR['#SM],Tableau_REF_SMMS[[#This Row],['#SM]])</f>
        <v>2</v>
      </c>
      <c r="D239" s="66" t="s">
        <v>284</v>
      </c>
      <c r="E239" s="39" t="str">
        <f>VLOOKUP(D239,Tableau_REF_Mesures[],2,FALSE)</f>
        <v>Service de Veille et de réponse à incidents (CERT/CSIRT)</v>
      </c>
      <c r="F239" s="143">
        <v>0.15384615384615385</v>
      </c>
      <c r="G239" s="143">
        <f>IFERROR(VLOOKUP(Tableau_REF_SMMS[[#This Row],['#MS]],Tableau_REC_Mesures[#All],6,FALSE),0)</f>
        <v>0</v>
      </c>
      <c r="H239" s="144">
        <f>IF(VLOOKUP(D239,Tableau_REF_Mesures[],3,FALSE)="OUI",F239+(F239*G239),0)</f>
        <v>0.15384615384615385</v>
      </c>
      <c r="I239" s="79">
        <f>VLOOKUP(D239,Tableau_REF_Mesures[],8,FALSE)*H239/IF(VLOOKUP(D239,Tableau_REF_Mesures[],6,FALSE)&gt;0,VLOOKUP(D239,Tableau_REF_Mesures[],6,FALSE),1)</f>
        <v>9827.5633180100758</v>
      </c>
    </row>
    <row r="240" spans="1:9" x14ac:dyDescent="0.2">
      <c r="A240" s="65" t="s">
        <v>77</v>
      </c>
      <c r="B240" s="39" t="str">
        <f>VLOOKUP(A240,Tableau_REF_Risques[],2,FALSE)</f>
        <v>Déploiement en production de codes applicatifs vulnérables</v>
      </c>
      <c r="C240" s="39">
        <f>_xlfn.MAXIFS(Tableau_REF_SMSR[Vrais Retenue],Tableau_REF_SMSR['#SM],Tableau_REF_SMMS[[#This Row],['#SM]])</f>
        <v>2</v>
      </c>
      <c r="D240" s="66" t="s">
        <v>286</v>
      </c>
      <c r="E240" s="39" t="str">
        <f>VLOOKUP(D240,Tableau_REF_Mesures[],2,FALSE)</f>
        <v>Service d'audit SSI</v>
      </c>
      <c r="F240" s="143">
        <v>0.20512820512820515</v>
      </c>
      <c r="G240" s="143">
        <f>IFERROR(VLOOKUP(Tableau_REF_SMMS[[#This Row],['#MS]],Tableau_REC_Mesures[#All],6,FALSE),0)</f>
        <v>0</v>
      </c>
      <c r="H240" s="144">
        <f>IF(VLOOKUP(D240,Tableau_REF_Mesures[],3,FALSE)="OUI",F240+(F240*G240),0)</f>
        <v>0.20512820512820515</v>
      </c>
      <c r="I240" s="79">
        <f>VLOOKUP(D240,Tableau_REF_Mesures[],8,FALSE)*H240/IF(VLOOKUP(D240,Tableau_REF_Mesures[],6,FALSE)&gt;0,VLOOKUP(D240,Tableau_REF_Mesures[],6,FALSE),1)</f>
        <v>11096.054341108424</v>
      </c>
    </row>
    <row r="241" spans="1:9" x14ac:dyDescent="0.2">
      <c r="A241" s="65" t="s">
        <v>77</v>
      </c>
      <c r="B241" s="39" t="str">
        <f>VLOOKUP(A241,Tableau_REF_Risques[],2,FALSE)</f>
        <v>Déploiement en production de codes applicatifs vulnérables</v>
      </c>
      <c r="C241" s="39">
        <f>_xlfn.MAXIFS(Tableau_REF_SMSR[Vrais Retenue],Tableau_REF_SMSR['#SM],Tableau_REF_SMMS[[#This Row],['#SM]])</f>
        <v>2</v>
      </c>
      <c r="D241" s="66" t="s">
        <v>288</v>
      </c>
      <c r="E241" s="39" t="str">
        <f>VLOOKUP(D241,Tableau_REF_Mesures[],2,FALSE)</f>
        <v>Service de gestion de la gouvernance et des risques</v>
      </c>
      <c r="F241" s="143">
        <v>7.6923076923076927E-2</v>
      </c>
      <c r="G241" s="143">
        <f>IFERROR(VLOOKUP(Tableau_REF_SMMS[[#This Row],['#MS]],Tableau_REC_Mesures[#All],6,FALSE),0)</f>
        <v>0</v>
      </c>
      <c r="H241" s="144">
        <f>IF(VLOOKUP(D241,Tableau_REF_Mesures[],3,FALSE)="OUI",F241+(F241*G241),0)</f>
        <v>7.6923076923076927E-2</v>
      </c>
      <c r="I241" s="79">
        <f>VLOOKUP(D241,Tableau_REF_Mesures[],8,FALSE)*H241/IF(VLOOKUP(D241,Tableau_REF_Mesures[],6,FALSE)&gt;0,VLOOKUP(D241,Tableau_REF_Mesures[],6,FALSE),1)</f>
        <v>7804.5724055267165</v>
      </c>
    </row>
    <row r="242" spans="1:9" x14ac:dyDescent="0.2">
      <c r="A242" s="65" t="s">
        <v>76</v>
      </c>
      <c r="B242" s="39" t="str">
        <f>VLOOKUP(A242,Tableau_REF_Risques[],2,FALSE)</f>
        <v>Environnement réseau complexe impliquant des risques d'erreur importants sur les règles de cloisonnement et de filtrage réseau</v>
      </c>
      <c r="C242" s="39">
        <f>_xlfn.MAXIFS(Tableau_REF_SMSR[Vrais Retenue],Tableau_REF_SMSR['#SM],Tableau_REF_SMMS[[#This Row],['#SM]])</f>
        <v>4</v>
      </c>
      <c r="D242" s="66" t="s">
        <v>247</v>
      </c>
      <c r="E242" s="39" t="str">
        <f>VLOOKUP(D242,Tableau_REF_Mesures[],2,FALSE)</f>
        <v>Outillage d'optimisation et d'orchestration Firewall (ex: Tufin)</v>
      </c>
      <c r="F242" s="143">
        <v>0.24</v>
      </c>
      <c r="G242" s="143">
        <f>IFERROR(VLOOKUP(Tableau_REF_SMMS[[#This Row],['#MS]],Tableau_REC_Mesures[#All],6,FALSE),0)</f>
        <v>0</v>
      </c>
      <c r="H242" s="144">
        <f>IF(VLOOKUP(D242,Tableau_REF_Mesures[],3,FALSE)="OUI",F242+(F242*G242),0)</f>
        <v>0.24</v>
      </c>
      <c r="I242" s="79">
        <f>VLOOKUP(D242,Tableau_REF_Mesures[],8,FALSE)*H242/IF(VLOOKUP(D242,Tableau_REF_Mesures[],6,FALSE)&gt;0,VLOOKUP(D242,Tableau_REF_Mesures[],6,FALSE),1)</f>
        <v>90000</v>
      </c>
    </row>
    <row r="243" spans="1:9" x14ac:dyDescent="0.2">
      <c r="A243" s="65" t="s">
        <v>76</v>
      </c>
      <c r="B243" s="39" t="str">
        <f>VLOOKUP(A243,Tableau_REF_Risques[],2,FALSE)</f>
        <v>Environnement réseau complexe impliquant des risques d'erreur importants sur les règles de cloisonnement et de filtrage réseau</v>
      </c>
      <c r="C243" s="39">
        <f>_xlfn.MAXIFS(Tableau_REF_SMSR[Vrais Retenue],Tableau_REF_SMSR['#SM],Tableau_REF_SMMS[[#This Row],['#SM]])</f>
        <v>4</v>
      </c>
      <c r="D243" s="66" t="s">
        <v>278</v>
      </c>
      <c r="E243" s="39" t="str">
        <f>VLOOKUP(D243,Tableau_REF_Mesures[],2,FALSE)</f>
        <v>Solution de collecte et de traitement des événements (SIEM)</v>
      </c>
      <c r="F243" s="143">
        <v>0.08</v>
      </c>
      <c r="G243" s="143">
        <f>IFERROR(VLOOKUP(Tableau_REF_SMMS[[#This Row],['#MS]],Tableau_REC_Mesures[#All],6,FALSE),0)</f>
        <v>0</v>
      </c>
      <c r="H243" s="144">
        <f>IF(VLOOKUP(D243,Tableau_REF_Mesures[],3,FALSE)="OUI",F243+(F243*G243),0)</f>
        <v>0.08</v>
      </c>
      <c r="I243" s="79">
        <f>VLOOKUP(D243,Tableau_REF_Mesures[],8,FALSE)*H243/IF(VLOOKUP(D243,Tableau_REF_Mesures[],6,FALSE)&gt;0,VLOOKUP(D243,Tableau_REF_Mesures[],6,FALSE),1)</f>
        <v>316.46011046550268</v>
      </c>
    </row>
    <row r="244" spans="1:9" x14ac:dyDescent="0.2">
      <c r="A244" s="65" t="s">
        <v>76</v>
      </c>
      <c r="B244" s="39" t="str">
        <f>VLOOKUP(A244,Tableau_REF_Risques[],2,FALSE)</f>
        <v>Environnement réseau complexe impliquant des risques d'erreur importants sur les règles de cloisonnement et de filtrage réseau</v>
      </c>
      <c r="C244" s="39">
        <f>_xlfn.MAXIFS(Tableau_REF_SMSR[Vrais Retenue],Tableau_REF_SMSR['#SM],Tableau_REF_SMMS[[#This Row],['#SM]])</f>
        <v>4</v>
      </c>
      <c r="D244" s="66" t="s">
        <v>282</v>
      </c>
      <c r="E244" s="39" t="str">
        <f>VLOOKUP(D244,Tableau_REF_Mesures[],2,FALSE)</f>
        <v>Service de supervision de sécurité (SOC)</v>
      </c>
      <c r="F244" s="143">
        <v>0.12</v>
      </c>
      <c r="G244" s="143">
        <f>IFERROR(VLOOKUP(Tableau_REF_SMMS[[#This Row],['#MS]],Tableau_REC_Mesures[#All],6,FALSE),0)</f>
        <v>0</v>
      </c>
      <c r="H244" s="144">
        <f>IF(VLOOKUP(D244,Tableau_REF_Mesures[],3,FALSE)="OUI",F244+(F244*G244),0)</f>
        <v>0.12</v>
      </c>
      <c r="I244" s="79">
        <f>VLOOKUP(D244,Tableau_REF_Mesures[],8,FALSE)*H244/IF(VLOOKUP(D244,Tableau_REF_Mesures[],6,FALSE)&gt;0,VLOOKUP(D244,Tableau_REF_Mesures[],6,FALSE),1)</f>
        <v>3782.3265951254775</v>
      </c>
    </row>
    <row r="245" spans="1:9" x14ac:dyDescent="0.2">
      <c r="A245" s="65" t="s">
        <v>76</v>
      </c>
      <c r="B245" s="39" t="str">
        <f>VLOOKUP(A245,Tableau_REF_Risques[],2,FALSE)</f>
        <v>Environnement réseau complexe impliquant des risques d'erreur importants sur les règles de cloisonnement et de filtrage réseau</v>
      </c>
      <c r="C245" s="39">
        <f>_xlfn.MAXIFS(Tableau_REF_SMSR[Vrais Retenue],Tableau_REF_SMSR['#SM],Tableau_REF_SMMS[[#This Row],['#SM]])</f>
        <v>4</v>
      </c>
      <c r="D245" s="66" t="s">
        <v>283</v>
      </c>
      <c r="E245" s="39" t="str">
        <f>VLOOKUP(D245,Tableau_REF_Mesures[],2,FALSE)</f>
        <v>Service de gestion des solutions de sécurité</v>
      </c>
      <c r="F245" s="143">
        <v>0.24</v>
      </c>
      <c r="G245" s="143">
        <f>IFERROR(VLOOKUP(Tableau_REF_SMMS[[#This Row],['#MS]],Tableau_REC_Mesures[#All],6,FALSE),0)</f>
        <v>0</v>
      </c>
      <c r="H245" s="144">
        <f>IF(VLOOKUP(D245,Tableau_REF_Mesures[],3,FALSE)="OUI",F245+(F245*G245),0)</f>
        <v>0.24</v>
      </c>
      <c r="I245" s="79"/>
    </row>
    <row r="246" spans="1:9" x14ac:dyDescent="0.2">
      <c r="A246" s="65" t="s">
        <v>76</v>
      </c>
      <c r="B246" s="39" t="str">
        <f>VLOOKUP(A246,Tableau_REF_Risques[],2,FALSE)</f>
        <v>Environnement réseau complexe impliquant des risques d'erreur importants sur les règles de cloisonnement et de filtrage réseau</v>
      </c>
      <c r="C246" s="39">
        <f>_xlfn.MAXIFS(Tableau_REF_SMSR[Vrais Retenue],Tableau_REF_SMSR['#SM],Tableau_REF_SMMS[[#This Row],['#SM]])</f>
        <v>4</v>
      </c>
      <c r="D246" s="66" t="s">
        <v>286</v>
      </c>
      <c r="E246" s="39" t="str">
        <f>VLOOKUP(D246,Tableau_REF_Mesures[],2,FALSE)</f>
        <v>Service d'audit SSI</v>
      </c>
      <c r="F246" s="143">
        <v>0.2</v>
      </c>
      <c r="G246" s="143">
        <f>IFERROR(VLOOKUP(Tableau_REF_SMMS[[#This Row],['#MS]],Tableau_REC_Mesures[#All],6,FALSE),0)</f>
        <v>0</v>
      </c>
      <c r="H246" s="144">
        <f>IF(VLOOKUP(D246,Tableau_REF_Mesures[],3,FALSE)="OUI",F246+(F246*G246),0)</f>
        <v>0.2</v>
      </c>
      <c r="I246" s="79">
        <f>VLOOKUP(D246,Tableau_REF_Mesures[],8,FALSE)*H246/IF(VLOOKUP(D246,Tableau_REF_Mesures[],6,FALSE)&gt;0,VLOOKUP(D246,Tableau_REF_Mesures[],6,FALSE),1)</f>
        <v>10818.652982580712</v>
      </c>
    </row>
    <row r="247" spans="1:9" x14ac:dyDescent="0.2">
      <c r="A247" s="65" t="s">
        <v>76</v>
      </c>
      <c r="B247" s="39" t="str">
        <f>VLOOKUP(A247,Tableau_REF_Risques[],2,FALSE)</f>
        <v>Environnement réseau complexe impliquant des risques d'erreur importants sur les règles de cloisonnement et de filtrage réseau</v>
      </c>
      <c r="C247" s="39">
        <f>_xlfn.MAXIFS(Tableau_REF_SMSR[Vrais Retenue],Tableau_REF_SMSR['#SM],Tableau_REF_SMMS[[#This Row],['#SM]])</f>
        <v>4</v>
      </c>
      <c r="D247" s="66" t="s">
        <v>288</v>
      </c>
      <c r="E247" s="39" t="str">
        <f>VLOOKUP(D247,Tableau_REF_Mesures[],2,FALSE)</f>
        <v>Service de gestion de la gouvernance et des risques</v>
      </c>
      <c r="F247" s="143">
        <v>0.12</v>
      </c>
      <c r="G247" s="143">
        <f>IFERROR(VLOOKUP(Tableau_REF_SMMS[[#This Row],['#MS]],Tableau_REC_Mesures[#All],6,FALSE),0)</f>
        <v>0</v>
      </c>
      <c r="H247" s="144">
        <f>IF(VLOOKUP(D247,Tableau_REF_Mesures[],3,FALSE)="OUI",F247+(F247*G247),0)</f>
        <v>0.12</v>
      </c>
      <c r="I247" s="79">
        <f>VLOOKUP(D247,Tableau_REF_Mesures[],8,FALSE)*H247/IF(VLOOKUP(D247,Tableau_REF_Mesures[],6,FALSE)&gt;0,VLOOKUP(D247,Tableau_REF_Mesures[],6,FALSE),1)</f>
        <v>12175.132952621676</v>
      </c>
    </row>
    <row r="248" spans="1:9" x14ac:dyDescent="0.2">
      <c r="A248" s="65" t="s">
        <v>75</v>
      </c>
      <c r="B248" s="39" t="str">
        <f>VLOOKUP(A248,Tableau_REF_Risques[],2,FALSE)</f>
        <v>Incapacité à gérer un terminal et à mettre en oeuvre une politique de sécurité</v>
      </c>
      <c r="C248" s="39">
        <f>_xlfn.MAXIFS(Tableau_REF_SMSR[Vrais Retenue],Tableau_REF_SMSR['#SM],Tableau_REF_SMMS[[#This Row],['#SM]])</f>
        <v>2</v>
      </c>
      <c r="D248" s="66" t="s">
        <v>271</v>
      </c>
      <c r="E248" s="39" t="str">
        <f>VLOOKUP(D248,Tableau_REF_Mesures[],2,FALSE)</f>
        <v>Solution de gestion des terminaux (MDM)</v>
      </c>
      <c r="F248" s="143">
        <v>0.36363636363636365</v>
      </c>
      <c r="G248" s="143">
        <f>IFERROR(VLOOKUP(Tableau_REF_SMMS[[#This Row],['#MS]],Tableau_REC_Mesures[#All],6,FALSE),0)</f>
        <v>0</v>
      </c>
      <c r="H248" s="144">
        <f>IF(VLOOKUP(D248,Tableau_REF_Mesures[],3,FALSE)="OUI",F248+(F248*G248),0)</f>
        <v>0.36363636363636365</v>
      </c>
      <c r="I248" s="79">
        <f>VLOOKUP(D248,Tableau_REF_Mesures[],8,FALSE)*H248/IF(VLOOKUP(D248,Tableau_REF_Mesures[],6,FALSE)&gt;0,VLOOKUP(D248,Tableau_REF_Mesures[],6,FALSE),1)</f>
        <v>30168.281489036202</v>
      </c>
    </row>
    <row r="249" spans="1:9" x14ac:dyDescent="0.2">
      <c r="A249" s="65" t="s">
        <v>75</v>
      </c>
      <c r="B249" s="39" t="str">
        <f>VLOOKUP(A249,Tableau_REF_Risques[],2,FALSE)</f>
        <v>Incapacité à gérer un terminal et à mettre en oeuvre une politique de sécurité</v>
      </c>
      <c r="C249" s="39">
        <f>_xlfn.MAXIFS(Tableau_REF_SMSR[Vrais Retenue],Tableau_REF_SMSR['#SM],Tableau_REF_SMMS[[#This Row],['#SM]])</f>
        <v>2</v>
      </c>
      <c r="D249" s="66" t="s">
        <v>278</v>
      </c>
      <c r="E249" s="39" t="str">
        <f>VLOOKUP(D249,Tableau_REF_Mesures[],2,FALSE)</f>
        <v>Solution de collecte et de traitement des événements (SIEM)</v>
      </c>
      <c r="F249" s="143">
        <v>9.0909090909090912E-2</v>
      </c>
      <c r="G249" s="143">
        <f>IFERROR(VLOOKUP(Tableau_REF_SMMS[[#This Row],['#MS]],Tableau_REC_Mesures[#All],6,FALSE),0)</f>
        <v>0</v>
      </c>
      <c r="H249" s="144">
        <f>IF(VLOOKUP(D249,Tableau_REF_Mesures[],3,FALSE)="OUI",F249+(F249*G249),0)</f>
        <v>9.0909090909090912E-2</v>
      </c>
      <c r="I249" s="79">
        <f>VLOOKUP(D249,Tableau_REF_Mesures[],8,FALSE)*H249/IF(VLOOKUP(D249,Tableau_REF_Mesures[],6,FALSE)&gt;0,VLOOKUP(D249,Tableau_REF_Mesures[],6,FALSE),1)</f>
        <v>359.61376189261665</v>
      </c>
    </row>
    <row r="250" spans="1:9" x14ac:dyDescent="0.2">
      <c r="A250" s="65" t="s">
        <v>75</v>
      </c>
      <c r="B250" s="39" t="str">
        <f>VLOOKUP(A250,Tableau_REF_Risques[],2,FALSE)</f>
        <v>Incapacité à gérer un terminal et à mettre en oeuvre une politique de sécurité</v>
      </c>
      <c r="C250" s="39">
        <f>_xlfn.MAXIFS(Tableau_REF_SMSR[Vrais Retenue],Tableau_REF_SMSR['#SM],Tableau_REF_SMMS[[#This Row],['#SM]])</f>
        <v>2</v>
      </c>
      <c r="D250" s="66" t="s">
        <v>282</v>
      </c>
      <c r="E250" s="39" t="str">
        <f>VLOOKUP(D250,Tableau_REF_Mesures[],2,FALSE)</f>
        <v>Service de supervision de sécurité (SOC)</v>
      </c>
      <c r="F250" s="143">
        <v>0.13636363636363635</v>
      </c>
      <c r="G250" s="143">
        <f>IFERROR(VLOOKUP(Tableau_REF_SMMS[[#This Row],['#MS]],Tableau_REC_Mesures[#All],6,FALSE),0)</f>
        <v>0</v>
      </c>
      <c r="H250" s="144">
        <f>IF(VLOOKUP(D250,Tableau_REF_Mesures[],3,FALSE)="OUI",F250+(F250*G250),0)</f>
        <v>0.13636363636363635</v>
      </c>
      <c r="I250" s="79">
        <f>VLOOKUP(D250,Tableau_REF_Mesures[],8,FALSE)*H250/IF(VLOOKUP(D250,Tableau_REF_Mesures[],6,FALSE)&gt;0,VLOOKUP(D250,Tableau_REF_Mesures[],6,FALSE),1)</f>
        <v>4298.0984035516785</v>
      </c>
    </row>
    <row r="251" spans="1:9" x14ac:dyDescent="0.2">
      <c r="A251" s="65" t="s">
        <v>75</v>
      </c>
      <c r="B251" s="39" t="str">
        <f>VLOOKUP(A251,Tableau_REF_Risques[],2,FALSE)</f>
        <v>Incapacité à gérer un terminal et à mettre en oeuvre une politique de sécurité</v>
      </c>
      <c r="C251" s="39">
        <f>_xlfn.MAXIFS(Tableau_REF_SMSR[Vrais Retenue],Tableau_REF_SMSR['#SM],Tableau_REF_SMMS[[#This Row],['#SM]])</f>
        <v>2</v>
      </c>
      <c r="D251" s="66" t="s">
        <v>283</v>
      </c>
      <c r="E251" s="39" t="str">
        <f>VLOOKUP(D251,Tableau_REF_Mesures[],2,FALSE)</f>
        <v>Service de gestion des solutions de sécurité</v>
      </c>
      <c r="F251" s="143">
        <v>0.13636363636363635</v>
      </c>
      <c r="G251" s="143">
        <f>IFERROR(VLOOKUP(Tableau_REF_SMMS[[#This Row],['#MS]],Tableau_REC_Mesures[#All],6,FALSE),0)</f>
        <v>0</v>
      </c>
      <c r="H251" s="144">
        <f>IF(VLOOKUP(D251,Tableau_REF_Mesures[],3,FALSE)="OUI",F251+(F251*G251),0)</f>
        <v>0.13636363636363635</v>
      </c>
      <c r="I251" s="79"/>
    </row>
    <row r="252" spans="1:9" x14ac:dyDescent="0.2">
      <c r="A252" s="65" t="s">
        <v>75</v>
      </c>
      <c r="B252" s="39" t="str">
        <f>VLOOKUP(A252,Tableau_REF_Risques[],2,FALSE)</f>
        <v>Incapacité à gérer un terminal et à mettre en oeuvre une politique de sécurité</v>
      </c>
      <c r="C252" s="39">
        <f>_xlfn.MAXIFS(Tableau_REF_SMSR[Vrais Retenue],Tableau_REF_SMSR['#SM],Tableau_REF_SMMS[[#This Row],['#SM]])</f>
        <v>2</v>
      </c>
      <c r="D252" s="66" t="s">
        <v>288</v>
      </c>
      <c r="E252" s="39" t="str">
        <f>VLOOKUP(D252,Tableau_REF_Mesures[],2,FALSE)</f>
        <v>Service de gestion de la gouvernance et des risques</v>
      </c>
      <c r="F252" s="143">
        <v>0.27272727272727271</v>
      </c>
      <c r="G252" s="143">
        <f>IFERROR(VLOOKUP(Tableau_REF_SMMS[[#This Row],['#MS]],Tableau_REC_Mesures[#All],6,FALSE),0)</f>
        <v>0</v>
      </c>
      <c r="H252" s="144">
        <f>IF(VLOOKUP(D252,Tableau_REF_Mesures[],3,FALSE)="OUI",F252+(F252*G252),0)</f>
        <v>0.27272727272727271</v>
      </c>
      <c r="I252" s="79">
        <f>VLOOKUP(D252,Tableau_REF_Mesures[],8,FALSE)*H252/IF(VLOOKUP(D252,Tableau_REF_Mesures[],6,FALSE)&gt;0,VLOOKUP(D252,Tableau_REF_Mesures[],6,FALSE),1)</f>
        <v>27670.756710503811</v>
      </c>
    </row>
  </sheetData>
  <phoneticPr fontId="11" type="noConversion"/>
  <pageMargins left="0.7" right="0.7" top="0.75" bottom="0.75" header="0.3" footer="0.3"/>
  <ignoredErrors>
    <ignoredError sqref="I2:I252" calculatedColumn="1"/>
  </ignoredErrors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89B21-A4DA-461A-AD42-E2F9FA0FEF68}">
  <dimension ref="A1:I182"/>
  <sheetViews>
    <sheetView workbookViewId="0">
      <selection activeCell="G28" sqref="G28"/>
    </sheetView>
  </sheetViews>
  <sheetFormatPr baseColWidth="10" defaultRowHeight="12.75" x14ac:dyDescent="0.2"/>
  <cols>
    <col min="2" max="2" width="97.42578125" bestFit="1" customWidth="1"/>
    <col min="3" max="3" width="17.140625" customWidth="1"/>
    <col min="4" max="4" width="13.42578125" bestFit="1" customWidth="1"/>
    <col min="5" max="5" width="15.7109375" customWidth="1"/>
    <col min="7" max="7" width="22.140625" bestFit="1" customWidth="1"/>
    <col min="8" max="8" width="14.28515625" style="39" customWidth="1"/>
    <col min="9" max="9" width="12" customWidth="1"/>
  </cols>
  <sheetData>
    <row r="1" spans="1:9" x14ac:dyDescent="0.2">
      <c r="A1" t="s">
        <v>352</v>
      </c>
      <c r="B1" t="s">
        <v>290</v>
      </c>
      <c r="C1" t="s">
        <v>351</v>
      </c>
      <c r="D1" s="65" t="s">
        <v>372</v>
      </c>
      <c r="E1" s="65" t="s">
        <v>374</v>
      </c>
      <c r="G1" t="s">
        <v>351</v>
      </c>
      <c r="H1" s="39" t="s">
        <v>239</v>
      </c>
      <c r="I1" t="s">
        <v>84</v>
      </c>
    </row>
    <row r="2" spans="1:9" x14ac:dyDescent="0.2">
      <c r="A2" s="84" t="s">
        <v>52</v>
      </c>
      <c r="B2" t="str">
        <f>VLOOKUP(Tableau_REF_SMSR[[#This Row],['#SM]],Tableau_REF_Risques[['#SM]:[Intitulé SM]],2,FALSE)</f>
        <v>Compromission d'un poste via l'accès à un site web infecté</v>
      </c>
      <c r="C2" s="84" t="s">
        <v>85</v>
      </c>
      <c r="D2">
        <v>2</v>
      </c>
      <c r="E2" s="45">
        <f t="shared" ref="E2:E33" si="0">IF(VLOOKUP(C2,$G$2:$I$10,3,FALSE)="Forte",D2,0)</f>
        <v>0</v>
      </c>
      <c r="G2" s="39" t="s">
        <v>91</v>
      </c>
      <c r="H2" s="39" t="s">
        <v>353</v>
      </c>
      <c r="I2" t="str">
        <f>'INPUT_Sources de Risques'!F4</f>
        <v>Faible</v>
      </c>
    </row>
    <row r="3" spans="1:9" x14ac:dyDescent="0.2">
      <c r="A3" s="84" t="s">
        <v>53</v>
      </c>
      <c r="B3" s="84" t="str">
        <f>VLOOKUP(Tableau_REF_SMSR[[#This Row],['#SM]],Tableau_REF_Risques[['#SM]:[Intitulé SM]],2,FALSE)</f>
        <v>Compromission d'un poste par Phishing de l'utilisateur (Pièce jointe ou URL piégée)</v>
      </c>
      <c r="C3" s="84" t="s">
        <v>85</v>
      </c>
      <c r="D3">
        <v>4</v>
      </c>
      <c r="E3" s="45">
        <f t="shared" si="0"/>
        <v>0</v>
      </c>
      <c r="G3" s="39" t="s">
        <v>95</v>
      </c>
      <c r="H3" s="39" t="s">
        <v>353</v>
      </c>
      <c r="I3" s="39" t="str">
        <f>'INPUT_Sources de Risques'!F5</f>
        <v>Forte</v>
      </c>
    </row>
    <row r="4" spans="1:9" x14ac:dyDescent="0.2">
      <c r="A4" s="84" t="s">
        <v>54</v>
      </c>
      <c r="B4" s="84" t="str">
        <f>VLOOKUP(Tableau_REF_SMSR[[#This Row],['#SM]],Tableau_REF_Risques[['#SM]:[Intitulé SM]],2,FALSE)</f>
        <v>Compromission d'un service d'accès réseau à distance (ex VPN, VDI…)</v>
      </c>
      <c r="C4" s="84" t="s">
        <v>85</v>
      </c>
      <c r="D4">
        <v>3</v>
      </c>
      <c r="E4" s="45">
        <f t="shared" si="0"/>
        <v>0</v>
      </c>
      <c r="G4" s="39" t="s">
        <v>104</v>
      </c>
      <c r="H4" s="39" t="s">
        <v>353</v>
      </c>
      <c r="I4" s="39" t="str">
        <f>'INPUT_Sources de Risques'!F7</f>
        <v>Faible</v>
      </c>
    </row>
    <row r="5" spans="1:9" x14ac:dyDescent="0.2">
      <c r="A5" s="84" t="s">
        <v>55</v>
      </c>
      <c r="B5" s="84" t="str">
        <f>VLOOKUP(Tableau_REF_SMSR[[#This Row],['#SM]],Tableau_REF_Risques[['#SM]:[Intitulé SM]],2,FALSE)</f>
        <v>Compromission d'une application ou d'une API exposée sur Internet</v>
      </c>
      <c r="C5" s="84" t="s">
        <v>85</v>
      </c>
      <c r="D5">
        <v>3</v>
      </c>
      <c r="E5" s="45">
        <f t="shared" si="0"/>
        <v>0</v>
      </c>
      <c r="G5" s="39" t="s">
        <v>355</v>
      </c>
      <c r="H5" s="39" t="s">
        <v>353</v>
      </c>
      <c r="I5" s="39" t="str">
        <f>'INPUT_Sources de Risques'!F14</f>
        <v>Faible</v>
      </c>
    </row>
    <row r="6" spans="1:9" x14ac:dyDescent="0.2">
      <c r="A6" t="s">
        <v>56</v>
      </c>
      <c r="B6" s="39" t="str">
        <f>VLOOKUP(Tableau_REF_SMSR[[#This Row],['#SM]],Tableau_REF_Risques[['#SM]:[Intitulé SM]],2,FALSE)</f>
        <v>Compromission d'un poste via une clé USB infectée</v>
      </c>
      <c r="C6" s="39" t="s">
        <v>85</v>
      </c>
      <c r="D6">
        <v>3</v>
      </c>
      <c r="E6" s="45">
        <f t="shared" si="0"/>
        <v>0</v>
      </c>
      <c r="G6" s="39" t="s">
        <v>354</v>
      </c>
      <c r="H6" s="39" t="s">
        <v>353</v>
      </c>
      <c r="I6" s="39" t="str">
        <f>'INPUT_Sources de Risques'!F15</f>
        <v>Faible</v>
      </c>
    </row>
    <row r="7" spans="1:9" x14ac:dyDescent="0.2">
      <c r="A7" t="s">
        <v>57</v>
      </c>
      <c r="B7" s="39" t="str">
        <f>VLOOKUP(Tableau_REF_SMSR[[#This Row],['#SM]],Tableau_REF_Risques[['#SM]:[Intitulé SM]],2,FALSE)</f>
        <v>Compromission du réseau via une interconnexion partenaire (VPN)</v>
      </c>
      <c r="C7" s="39" t="s">
        <v>85</v>
      </c>
      <c r="D7">
        <v>3</v>
      </c>
      <c r="E7" s="45">
        <f t="shared" si="0"/>
        <v>0</v>
      </c>
      <c r="G7" s="39" t="s">
        <v>85</v>
      </c>
      <c r="H7" s="39" t="s">
        <v>353</v>
      </c>
      <c r="I7" s="39" t="str">
        <f>'INPUT_Sources de Risques'!F3</f>
        <v>Faible</v>
      </c>
    </row>
    <row r="8" spans="1:9" x14ac:dyDescent="0.2">
      <c r="A8" t="s">
        <v>58</v>
      </c>
      <c r="B8" s="39" t="str">
        <f>VLOOKUP(Tableau_REF_SMSR[[#This Row],['#SM]],Tableau_REF_Risques[['#SM]:[Intitulé SM]],2,FALSE)</f>
        <v>Compromission du réseau via l'utilisation d'identifiants volés</v>
      </c>
      <c r="C8" s="39" t="s">
        <v>85</v>
      </c>
      <c r="D8">
        <v>4</v>
      </c>
      <c r="E8" s="45">
        <f t="shared" si="0"/>
        <v>0</v>
      </c>
      <c r="G8" s="39" t="s">
        <v>99</v>
      </c>
      <c r="H8" s="39" t="s">
        <v>353</v>
      </c>
      <c r="I8" s="39" t="str">
        <f>'INPUT_Sources de Risques'!F6</f>
        <v>Forte</v>
      </c>
    </row>
    <row r="9" spans="1:9" x14ac:dyDescent="0.2">
      <c r="A9" t="s">
        <v>59</v>
      </c>
      <c r="B9" s="39" t="str">
        <f>VLOOKUP(Tableau_REF_SMSR[[#This Row],['#SM]],Tableau_REF_Risques[['#SM]:[Intitulé SM]],2,FALSE)</f>
        <v>Compromission du réseau via l'installation d'une application infectée</v>
      </c>
      <c r="C9" s="39" t="s">
        <v>85</v>
      </c>
      <c r="D9">
        <v>3</v>
      </c>
      <c r="E9" s="45">
        <f t="shared" si="0"/>
        <v>0</v>
      </c>
      <c r="G9" s="39" t="s">
        <v>107</v>
      </c>
      <c r="H9" s="39" t="s">
        <v>353</v>
      </c>
      <c r="I9" s="39" t="str">
        <f>'INPUT_Sources de Risques'!F8</f>
        <v>Forte</v>
      </c>
    </row>
    <row r="10" spans="1:9" x14ac:dyDescent="0.2">
      <c r="A10" t="s">
        <v>60</v>
      </c>
      <c r="B10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10" s="39" t="s">
        <v>85</v>
      </c>
      <c r="D10">
        <v>3</v>
      </c>
      <c r="E10" s="45">
        <f t="shared" si="0"/>
        <v>0</v>
      </c>
      <c r="G10" s="39" t="s">
        <v>356</v>
      </c>
      <c r="H10" s="39" t="s">
        <v>113</v>
      </c>
      <c r="I10" s="39" t="str">
        <f>'INPUT_Sources de Risques'!F10</f>
        <v>Forte</v>
      </c>
    </row>
    <row r="11" spans="1:9" x14ac:dyDescent="0.2">
      <c r="A11" t="s">
        <v>61</v>
      </c>
      <c r="B11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11" s="39" t="s">
        <v>85</v>
      </c>
      <c r="D11">
        <v>3</v>
      </c>
      <c r="E11" s="45">
        <f t="shared" si="0"/>
        <v>0</v>
      </c>
      <c r="G11" s="39" t="s">
        <v>355</v>
      </c>
      <c r="H11" s="39" t="s">
        <v>113</v>
      </c>
      <c r="I11" s="39" t="str">
        <f>'INPUT_Sources de Risques'!F11</f>
        <v>Forte</v>
      </c>
    </row>
    <row r="12" spans="1:9" x14ac:dyDescent="0.2">
      <c r="A12" t="s">
        <v>62</v>
      </c>
      <c r="B12" s="39" t="str">
        <f>VLOOKUP(Tableau_REF_SMSR[[#This Row],['#SM]],Tableau_REF_Risques[['#SM]:[Intitulé SM]],2,FALSE)</f>
        <v>Exécution de scripts malveillants dans les interpréteurs de commande (Shell)</v>
      </c>
      <c r="C12" s="39" t="s">
        <v>85</v>
      </c>
      <c r="D12">
        <v>3</v>
      </c>
      <c r="E12" s="45">
        <f t="shared" si="0"/>
        <v>0</v>
      </c>
      <c r="G12" s="39" t="s">
        <v>354</v>
      </c>
      <c r="H12" s="39" t="s">
        <v>113</v>
      </c>
      <c r="I12" s="39" t="str">
        <f>'INPUT_Sources de Risques'!F12</f>
        <v>Forte</v>
      </c>
    </row>
    <row r="13" spans="1:9" x14ac:dyDescent="0.2">
      <c r="A13" t="s">
        <v>63</v>
      </c>
      <c r="B13" s="39" t="str">
        <f>VLOOKUP(Tableau_REF_SMSR[[#This Row],['#SM]],Tableau_REF_Risques[['#SM]:[Intitulé SM]],2,FALSE)</f>
        <v>Détournement des fonctions d'un OS pour exécuter un code malveillant (Services, Registre, Bootloader...)</v>
      </c>
      <c r="C13" s="39" t="s">
        <v>85</v>
      </c>
      <c r="D13">
        <v>3</v>
      </c>
      <c r="E13" s="45">
        <f t="shared" si="0"/>
        <v>0</v>
      </c>
      <c r="G13" s="39" t="s">
        <v>356</v>
      </c>
      <c r="H13" s="39" t="s">
        <v>353</v>
      </c>
      <c r="I13" s="39" t="str">
        <f>'INPUT_Sources de Risques'!F13</f>
        <v>Forte</v>
      </c>
    </row>
    <row r="14" spans="1:9" x14ac:dyDescent="0.2">
      <c r="A14" t="s">
        <v>64</v>
      </c>
      <c r="B14" s="39" t="str">
        <f>VLOOKUP(Tableau_REF_SMSR[[#This Row],['#SM]],Tableau_REF_Risques[['#SM]:[Intitulé SM]],2,FALSE)</f>
        <v>Modification illégitime des comptes et droits d'accès permettant de maintenir un accès au SI</v>
      </c>
      <c r="C14" s="39" t="s">
        <v>85</v>
      </c>
      <c r="D14">
        <v>3</v>
      </c>
      <c r="E14" s="45">
        <f t="shared" si="0"/>
        <v>0</v>
      </c>
    </row>
    <row r="15" spans="1:9" x14ac:dyDescent="0.2">
      <c r="A15" t="s">
        <v>65</v>
      </c>
      <c r="B15" s="39" t="str">
        <f>VLOOKUP(Tableau_REF_SMSR[[#This Row],['#SM]],Tableau_REF_Risques[['#SM]:[Intitulé SM]],2,FALSE)</f>
        <v>Installation de composants illégitimes au sein du navigateur Web</v>
      </c>
      <c r="C15" s="39" t="s">
        <v>85</v>
      </c>
      <c r="D15">
        <v>4</v>
      </c>
      <c r="E15" s="45">
        <f t="shared" si="0"/>
        <v>0</v>
      </c>
    </row>
    <row r="16" spans="1:9" x14ac:dyDescent="0.2">
      <c r="A16" t="s">
        <v>66</v>
      </c>
      <c r="B16" s="39" t="str">
        <f>VLOOKUP(Tableau_REF_SMSR[[#This Row],['#SM]],Tableau_REF_Risques[['#SM]:[Intitulé SM]],2,FALSE)</f>
        <v>Contournement des mécanismes de contrôle afin d'effectuer une élévation de privilèges</v>
      </c>
      <c r="C16" s="39" t="s">
        <v>85</v>
      </c>
      <c r="D16">
        <v>4</v>
      </c>
      <c r="E16" s="45">
        <f t="shared" si="0"/>
        <v>0</v>
      </c>
    </row>
    <row r="17" spans="1:5" x14ac:dyDescent="0.2">
      <c r="A17" t="s">
        <v>67</v>
      </c>
      <c r="B17" s="39" t="str">
        <f>VLOOKUP(Tableau_REF_SMSR[[#This Row],['#SM]],Tableau_REF_Risques[['#SM]:[Intitulé SM]],2,FALSE)</f>
        <v>Mouvement latéral en vue d'atteindre l'objectif</v>
      </c>
      <c r="C17" s="39" t="s">
        <v>85</v>
      </c>
      <c r="D17">
        <v>4</v>
      </c>
      <c r="E17" s="45">
        <f t="shared" si="0"/>
        <v>0</v>
      </c>
    </row>
    <row r="18" spans="1:5" x14ac:dyDescent="0.2">
      <c r="A18" t="s">
        <v>68</v>
      </c>
      <c r="B18" s="39" t="str">
        <f>VLOOKUP(Tableau_REF_SMSR[[#This Row],['#SM]],Tableau_REF_Risques[['#SM]:[Intitulé SM]],2,FALSE)</f>
        <v>Ouverture d'un canal de commande et d'exfiltration sur le réseau</v>
      </c>
      <c r="C18" s="39" t="s">
        <v>85</v>
      </c>
      <c r="D18">
        <v>4</v>
      </c>
      <c r="E18" s="45">
        <f t="shared" si="0"/>
        <v>0</v>
      </c>
    </row>
    <row r="19" spans="1:5" x14ac:dyDescent="0.2">
      <c r="A19" t="s">
        <v>69</v>
      </c>
      <c r="B19" s="39" t="str">
        <f>VLOOKUP(Tableau_REF_SMSR[[#This Row],['#SM]],Tableau_REF_Risques[['#SM]:[Intitulé SM]],2,FALSE)</f>
        <v>Chiffrement et/ou suppression de données par malveillance</v>
      </c>
      <c r="C19" s="39" t="s">
        <v>85</v>
      </c>
      <c r="D19">
        <v>3</v>
      </c>
      <c r="E19" s="45">
        <f t="shared" si="0"/>
        <v>0</v>
      </c>
    </row>
    <row r="20" spans="1:5" x14ac:dyDescent="0.2">
      <c r="A20" t="s">
        <v>70</v>
      </c>
      <c r="B20" s="39" t="str">
        <f>VLOOKUP(Tableau_REF_SMSR[[#This Row],['#SM]],Tableau_REF_Risques[['#SM]:[Intitulé SM]],2,FALSE)</f>
        <v>Indisponibilité des ressources suite à une attaque par DDoS</v>
      </c>
      <c r="C20" s="39" t="s">
        <v>85</v>
      </c>
      <c r="D20">
        <v>4</v>
      </c>
      <c r="E20" s="45">
        <f t="shared" si="0"/>
        <v>0</v>
      </c>
    </row>
    <row r="21" spans="1:5" x14ac:dyDescent="0.2">
      <c r="A21" s="39" t="s">
        <v>52</v>
      </c>
      <c r="B21" s="39" t="str">
        <f>VLOOKUP(Tableau_REF_SMSR[[#This Row],['#SM]],Tableau_REF_Risques[['#SM]:[Intitulé SM]],2,FALSE)</f>
        <v>Compromission d'un poste via l'accès à un site web infecté</v>
      </c>
      <c r="C21" t="s">
        <v>91</v>
      </c>
      <c r="D21">
        <v>2</v>
      </c>
      <c r="E21" s="45">
        <f t="shared" si="0"/>
        <v>0</v>
      </c>
    </row>
    <row r="22" spans="1:5" x14ac:dyDescent="0.2">
      <c r="A22" s="39" t="s">
        <v>53</v>
      </c>
      <c r="B22" s="39" t="str">
        <f>VLOOKUP(Tableau_REF_SMSR[[#This Row],['#SM]],Tableau_REF_Risques[['#SM]:[Intitulé SM]],2,FALSE)</f>
        <v>Compromission d'un poste par Phishing de l'utilisateur (Pièce jointe ou URL piégée)</v>
      </c>
      <c r="C22" t="s">
        <v>91</v>
      </c>
      <c r="D22">
        <v>4</v>
      </c>
      <c r="E22" s="45">
        <f t="shared" si="0"/>
        <v>0</v>
      </c>
    </row>
    <row r="23" spans="1:5" x14ac:dyDescent="0.2">
      <c r="A23" s="39" t="s">
        <v>54</v>
      </c>
      <c r="B23" s="39" t="str">
        <f>VLOOKUP(Tableau_REF_SMSR[[#This Row],['#SM]],Tableau_REF_Risques[['#SM]:[Intitulé SM]],2,FALSE)</f>
        <v>Compromission d'un service d'accès réseau à distance (ex VPN, VDI…)</v>
      </c>
      <c r="C23" t="s">
        <v>91</v>
      </c>
      <c r="D23">
        <v>2</v>
      </c>
      <c r="E23" s="45">
        <f t="shared" si="0"/>
        <v>0</v>
      </c>
    </row>
    <row r="24" spans="1:5" x14ac:dyDescent="0.2">
      <c r="A24" s="39" t="s">
        <v>55</v>
      </c>
      <c r="B24" s="39" t="str">
        <f>VLOOKUP(Tableau_REF_SMSR[[#This Row],['#SM]],Tableau_REF_Risques[['#SM]:[Intitulé SM]],2,FALSE)</f>
        <v>Compromission d'une application ou d'une API exposée sur Internet</v>
      </c>
      <c r="C24" t="s">
        <v>91</v>
      </c>
      <c r="D24">
        <v>3</v>
      </c>
      <c r="E24" s="45">
        <f t="shared" si="0"/>
        <v>0</v>
      </c>
    </row>
    <row r="25" spans="1:5" x14ac:dyDescent="0.2">
      <c r="A25" s="39" t="s">
        <v>56</v>
      </c>
      <c r="B25" s="39" t="str">
        <f>VLOOKUP(Tableau_REF_SMSR[[#This Row],['#SM]],Tableau_REF_Risques[['#SM]:[Intitulé SM]],2,FALSE)</f>
        <v>Compromission d'un poste via une clé USB infectée</v>
      </c>
      <c r="C25" t="s">
        <v>91</v>
      </c>
      <c r="D25">
        <v>2</v>
      </c>
      <c r="E25" s="45">
        <f t="shared" si="0"/>
        <v>0</v>
      </c>
    </row>
    <row r="26" spans="1:5" x14ac:dyDescent="0.2">
      <c r="A26" s="39" t="s">
        <v>57</v>
      </c>
      <c r="B26" s="39" t="str">
        <f>VLOOKUP(Tableau_REF_SMSR[[#This Row],['#SM]],Tableau_REF_Risques[['#SM]:[Intitulé SM]],2,FALSE)</f>
        <v>Compromission du réseau via une interconnexion partenaire (VPN)</v>
      </c>
      <c r="C26" t="s">
        <v>91</v>
      </c>
      <c r="D26">
        <v>2</v>
      </c>
      <c r="E26" s="45">
        <f t="shared" si="0"/>
        <v>0</v>
      </c>
    </row>
    <row r="27" spans="1:5" x14ac:dyDescent="0.2">
      <c r="A27" s="39" t="s">
        <v>58</v>
      </c>
      <c r="B27" s="39" t="str">
        <f>VLOOKUP(Tableau_REF_SMSR[[#This Row],['#SM]],Tableau_REF_Risques[['#SM]:[Intitulé SM]],2,FALSE)</f>
        <v>Compromission du réseau via l'utilisation d'identifiants volés</v>
      </c>
      <c r="C27" t="s">
        <v>91</v>
      </c>
      <c r="D27">
        <v>4</v>
      </c>
      <c r="E27" s="45">
        <f t="shared" si="0"/>
        <v>0</v>
      </c>
    </row>
    <row r="28" spans="1:5" x14ac:dyDescent="0.2">
      <c r="A28" s="39" t="s">
        <v>59</v>
      </c>
      <c r="B28" s="39" t="str">
        <f>VLOOKUP(Tableau_REF_SMSR[[#This Row],['#SM]],Tableau_REF_Risques[['#SM]:[Intitulé SM]],2,FALSE)</f>
        <v>Compromission du réseau via l'installation d'une application infectée</v>
      </c>
      <c r="C28" t="s">
        <v>91</v>
      </c>
      <c r="D28">
        <v>3</v>
      </c>
      <c r="E28" s="45">
        <f t="shared" si="0"/>
        <v>0</v>
      </c>
    </row>
    <row r="29" spans="1:5" x14ac:dyDescent="0.2">
      <c r="A29" s="39" t="s">
        <v>60</v>
      </c>
      <c r="B29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29" t="s">
        <v>91</v>
      </c>
      <c r="D29">
        <v>2</v>
      </c>
      <c r="E29" s="45">
        <f t="shared" si="0"/>
        <v>0</v>
      </c>
    </row>
    <row r="30" spans="1:5" x14ac:dyDescent="0.2">
      <c r="A30" s="39" t="s">
        <v>61</v>
      </c>
      <c r="B30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30" t="s">
        <v>91</v>
      </c>
      <c r="D30">
        <v>1</v>
      </c>
      <c r="E30" s="45">
        <f t="shared" si="0"/>
        <v>0</v>
      </c>
    </row>
    <row r="31" spans="1:5" x14ac:dyDescent="0.2">
      <c r="A31" s="39" t="s">
        <v>62</v>
      </c>
      <c r="B31" s="39" t="str">
        <f>VLOOKUP(Tableau_REF_SMSR[[#This Row],['#SM]],Tableau_REF_Risques[['#SM]:[Intitulé SM]],2,FALSE)</f>
        <v>Exécution de scripts malveillants dans les interpréteurs de commande (Shell)</v>
      </c>
      <c r="C31" t="s">
        <v>91</v>
      </c>
      <c r="D31">
        <v>3</v>
      </c>
      <c r="E31" s="45">
        <f t="shared" si="0"/>
        <v>0</v>
      </c>
    </row>
    <row r="32" spans="1:5" x14ac:dyDescent="0.2">
      <c r="A32" s="39" t="s">
        <v>63</v>
      </c>
      <c r="B32" s="39" t="str">
        <f>VLOOKUP(Tableau_REF_SMSR[[#This Row],['#SM]],Tableau_REF_Risques[['#SM]:[Intitulé SM]],2,FALSE)</f>
        <v>Détournement des fonctions d'un OS pour exécuter un code malveillant (Services, Registre, Bootloader...)</v>
      </c>
      <c r="C32" t="s">
        <v>91</v>
      </c>
      <c r="D32">
        <v>3</v>
      </c>
      <c r="E32" s="45">
        <f t="shared" si="0"/>
        <v>0</v>
      </c>
    </row>
    <row r="33" spans="1:5" x14ac:dyDescent="0.2">
      <c r="A33" s="39" t="s">
        <v>64</v>
      </c>
      <c r="B33" s="39" t="str">
        <f>VLOOKUP(Tableau_REF_SMSR[[#This Row],['#SM]],Tableau_REF_Risques[['#SM]:[Intitulé SM]],2,FALSE)</f>
        <v>Modification illégitime des comptes et droits d'accès permettant de maintenir un accès au SI</v>
      </c>
      <c r="C33" t="s">
        <v>91</v>
      </c>
      <c r="D33">
        <v>3</v>
      </c>
      <c r="E33" s="45">
        <f t="shared" si="0"/>
        <v>0</v>
      </c>
    </row>
    <row r="34" spans="1:5" x14ac:dyDescent="0.2">
      <c r="A34" s="39" t="s">
        <v>65</v>
      </c>
      <c r="B34" s="39" t="str">
        <f>VLOOKUP(Tableau_REF_SMSR[[#This Row],['#SM]],Tableau_REF_Risques[['#SM]:[Intitulé SM]],2,FALSE)</f>
        <v>Installation de composants illégitimes au sein du navigateur Web</v>
      </c>
      <c r="C34" t="s">
        <v>91</v>
      </c>
      <c r="D34">
        <v>2</v>
      </c>
      <c r="E34" s="45">
        <f t="shared" ref="E34:E65" si="1">IF(VLOOKUP(C34,$G$2:$I$10,3,FALSE)="Forte",D34,0)</f>
        <v>0</v>
      </c>
    </row>
    <row r="35" spans="1:5" x14ac:dyDescent="0.2">
      <c r="A35" s="39" t="s">
        <v>66</v>
      </c>
      <c r="B35" s="39" t="str">
        <f>VLOOKUP(Tableau_REF_SMSR[[#This Row],['#SM]],Tableau_REF_Risques[['#SM]:[Intitulé SM]],2,FALSE)</f>
        <v>Contournement des mécanismes de contrôle afin d'effectuer une élévation de privilèges</v>
      </c>
      <c r="C35" t="s">
        <v>91</v>
      </c>
      <c r="D35">
        <v>3</v>
      </c>
      <c r="E35" s="45">
        <f t="shared" si="1"/>
        <v>0</v>
      </c>
    </row>
    <row r="36" spans="1:5" x14ac:dyDescent="0.2">
      <c r="A36" s="39" t="s">
        <v>67</v>
      </c>
      <c r="B36" s="39" t="str">
        <f>VLOOKUP(Tableau_REF_SMSR[[#This Row],['#SM]],Tableau_REF_Risques[['#SM]:[Intitulé SM]],2,FALSE)</f>
        <v>Mouvement latéral en vue d'atteindre l'objectif</v>
      </c>
      <c r="C36" t="s">
        <v>91</v>
      </c>
      <c r="D36">
        <v>3</v>
      </c>
      <c r="E36" s="45">
        <f t="shared" si="1"/>
        <v>0</v>
      </c>
    </row>
    <row r="37" spans="1:5" x14ac:dyDescent="0.2">
      <c r="A37" s="39" t="s">
        <v>68</v>
      </c>
      <c r="B37" s="39" t="str">
        <f>VLOOKUP(Tableau_REF_SMSR[[#This Row],['#SM]],Tableau_REF_Risques[['#SM]:[Intitulé SM]],2,FALSE)</f>
        <v>Ouverture d'un canal de commande et d'exfiltration sur le réseau</v>
      </c>
      <c r="C37" t="s">
        <v>91</v>
      </c>
      <c r="D37">
        <v>4</v>
      </c>
      <c r="E37" s="45">
        <f t="shared" si="1"/>
        <v>0</v>
      </c>
    </row>
    <row r="38" spans="1:5" x14ac:dyDescent="0.2">
      <c r="A38" s="39" t="s">
        <v>69</v>
      </c>
      <c r="B38" s="39" t="str">
        <f>VLOOKUP(Tableau_REF_SMSR[[#This Row],['#SM]],Tableau_REF_Risques[['#SM]:[Intitulé SM]],2,FALSE)</f>
        <v>Chiffrement et/ou suppression de données par malveillance</v>
      </c>
      <c r="C38" t="s">
        <v>91</v>
      </c>
      <c r="D38">
        <v>3</v>
      </c>
      <c r="E38" s="45">
        <f t="shared" si="1"/>
        <v>0</v>
      </c>
    </row>
    <row r="39" spans="1:5" x14ac:dyDescent="0.2">
      <c r="A39" s="39" t="s">
        <v>70</v>
      </c>
      <c r="B39" s="39" t="str">
        <f>VLOOKUP(Tableau_REF_SMSR[[#This Row],['#SM]],Tableau_REF_Risques[['#SM]:[Intitulé SM]],2,FALSE)</f>
        <v>Indisponibilité des ressources suite à une attaque par DDoS</v>
      </c>
      <c r="C39" t="s">
        <v>91</v>
      </c>
      <c r="D39">
        <v>4</v>
      </c>
      <c r="E39" s="45">
        <f t="shared" si="1"/>
        <v>0</v>
      </c>
    </row>
    <row r="40" spans="1:5" x14ac:dyDescent="0.2">
      <c r="A40" s="39" t="s">
        <v>52</v>
      </c>
      <c r="B40" s="39" t="str">
        <f>VLOOKUP(Tableau_REF_SMSR[[#This Row],['#SM]],Tableau_REF_Risques[['#SM]:[Intitulé SM]],2,FALSE)</f>
        <v>Compromission d'un poste via l'accès à un site web infecté</v>
      </c>
      <c r="C40" t="s">
        <v>95</v>
      </c>
      <c r="D40">
        <v>4</v>
      </c>
      <c r="E40" s="45">
        <f t="shared" si="1"/>
        <v>4</v>
      </c>
    </row>
    <row r="41" spans="1:5" x14ac:dyDescent="0.2">
      <c r="A41" s="39" t="s">
        <v>53</v>
      </c>
      <c r="B41" s="39" t="str">
        <f>VLOOKUP(Tableau_REF_SMSR[[#This Row],['#SM]],Tableau_REF_Risques[['#SM]:[Intitulé SM]],2,FALSE)</f>
        <v>Compromission d'un poste par Phishing de l'utilisateur (Pièce jointe ou URL piégée)</v>
      </c>
      <c r="C41" t="s">
        <v>95</v>
      </c>
      <c r="D41">
        <v>4</v>
      </c>
      <c r="E41" s="45">
        <f t="shared" si="1"/>
        <v>4</v>
      </c>
    </row>
    <row r="42" spans="1:5" x14ac:dyDescent="0.2">
      <c r="A42" s="39" t="s">
        <v>54</v>
      </c>
      <c r="B42" s="39" t="str">
        <f>VLOOKUP(Tableau_REF_SMSR[[#This Row],['#SM]],Tableau_REF_Risques[['#SM]:[Intitulé SM]],2,FALSE)</f>
        <v>Compromission d'un service d'accès réseau à distance (ex VPN, VDI…)</v>
      </c>
      <c r="C42" t="s">
        <v>95</v>
      </c>
      <c r="D42">
        <v>3</v>
      </c>
      <c r="E42" s="45">
        <f t="shared" si="1"/>
        <v>3</v>
      </c>
    </row>
    <row r="43" spans="1:5" x14ac:dyDescent="0.2">
      <c r="A43" s="39" t="s">
        <v>55</v>
      </c>
      <c r="B43" s="39" t="str">
        <f>VLOOKUP(Tableau_REF_SMSR[[#This Row],['#SM]],Tableau_REF_Risques[['#SM]:[Intitulé SM]],2,FALSE)</f>
        <v>Compromission d'une application ou d'une API exposée sur Internet</v>
      </c>
      <c r="C43" t="s">
        <v>95</v>
      </c>
      <c r="D43">
        <v>3</v>
      </c>
      <c r="E43" s="45">
        <f t="shared" si="1"/>
        <v>3</v>
      </c>
    </row>
    <row r="44" spans="1:5" x14ac:dyDescent="0.2">
      <c r="A44" s="39" t="s">
        <v>56</v>
      </c>
      <c r="B44" s="39" t="str">
        <f>VLOOKUP(Tableau_REF_SMSR[[#This Row],['#SM]],Tableau_REF_Risques[['#SM]:[Intitulé SM]],2,FALSE)</f>
        <v>Compromission d'un poste via une clé USB infectée</v>
      </c>
      <c r="C44" t="s">
        <v>95</v>
      </c>
      <c r="D44">
        <v>2</v>
      </c>
      <c r="E44" s="45">
        <f t="shared" si="1"/>
        <v>2</v>
      </c>
    </row>
    <row r="45" spans="1:5" x14ac:dyDescent="0.2">
      <c r="A45" s="39" t="s">
        <v>57</v>
      </c>
      <c r="B45" s="39" t="str">
        <f>VLOOKUP(Tableau_REF_SMSR[[#This Row],['#SM]],Tableau_REF_Risques[['#SM]:[Intitulé SM]],2,FALSE)</f>
        <v>Compromission du réseau via une interconnexion partenaire (VPN)</v>
      </c>
      <c r="C45" t="s">
        <v>95</v>
      </c>
      <c r="D45">
        <v>3</v>
      </c>
      <c r="E45" s="45">
        <f t="shared" si="1"/>
        <v>3</v>
      </c>
    </row>
    <row r="46" spans="1:5" x14ac:dyDescent="0.2">
      <c r="A46" s="39" t="s">
        <v>58</v>
      </c>
      <c r="B46" s="39" t="str">
        <f>VLOOKUP(Tableau_REF_SMSR[[#This Row],['#SM]],Tableau_REF_Risques[['#SM]:[Intitulé SM]],2,FALSE)</f>
        <v>Compromission du réseau via l'utilisation d'identifiants volés</v>
      </c>
      <c r="C46" t="s">
        <v>95</v>
      </c>
      <c r="D46">
        <v>4</v>
      </c>
      <c r="E46" s="45">
        <f t="shared" si="1"/>
        <v>4</v>
      </c>
    </row>
    <row r="47" spans="1:5" x14ac:dyDescent="0.2">
      <c r="A47" s="39" t="s">
        <v>59</v>
      </c>
      <c r="B47" s="39" t="str">
        <f>VLOOKUP(Tableau_REF_SMSR[[#This Row],['#SM]],Tableau_REF_Risques[['#SM]:[Intitulé SM]],2,FALSE)</f>
        <v>Compromission du réseau via l'installation d'une application infectée</v>
      </c>
      <c r="C47" t="s">
        <v>95</v>
      </c>
      <c r="D47">
        <v>3</v>
      </c>
      <c r="E47" s="45">
        <f t="shared" si="1"/>
        <v>3</v>
      </c>
    </row>
    <row r="48" spans="1:5" x14ac:dyDescent="0.2">
      <c r="A48" s="39" t="s">
        <v>60</v>
      </c>
      <c r="B48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48" t="s">
        <v>95</v>
      </c>
      <c r="D48">
        <v>2</v>
      </c>
      <c r="E48" s="45">
        <f t="shared" si="1"/>
        <v>2</v>
      </c>
    </row>
    <row r="49" spans="1:5" x14ac:dyDescent="0.2">
      <c r="A49" s="39" t="s">
        <v>61</v>
      </c>
      <c r="B49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49" t="s">
        <v>95</v>
      </c>
      <c r="D49">
        <v>1</v>
      </c>
      <c r="E49" s="45">
        <f t="shared" si="1"/>
        <v>1</v>
      </c>
    </row>
    <row r="50" spans="1:5" x14ac:dyDescent="0.2">
      <c r="A50" s="39" t="s">
        <v>62</v>
      </c>
      <c r="B50" s="39" t="str">
        <f>VLOOKUP(Tableau_REF_SMSR[[#This Row],['#SM]],Tableau_REF_Risques[['#SM]:[Intitulé SM]],2,FALSE)</f>
        <v>Exécution de scripts malveillants dans les interpréteurs de commande (Shell)</v>
      </c>
      <c r="C50" t="s">
        <v>95</v>
      </c>
      <c r="D50">
        <v>3</v>
      </c>
      <c r="E50" s="45">
        <f t="shared" si="1"/>
        <v>3</v>
      </c>
    </row>
    <row r="51" spans="1:5" x14ac:dyDescent="0.2">
      <c r="A51" s="39" t="s">
        <v>63</v>
      </c>
      <c r="B51" s="39" t="str">
        <f>VLOOKUP(Tableau_REF_SMSR[[#This Row],['#SM]],Tableau_REF_Risques[['#SM]:[Intitulé SM]],2,FALSE)</f>
        <v>Détournement des fonctions d'un OS pour exécuter un code malveillant (Services, Registre, Bootloader...)</v>
      </c>
      <c r="C51" t="s">
        <v>95</v>
      </c>
      <c r="D51">
        <v>3</v>
      </c>
      <c r="E51" s="45">
        <f t="shared" si="1"/>
        <v>3</v>
      </c>
    </row>
    <row r="52" spans="1:5" x14ac:dyDescent="0.2">
      <c r="A52" s="39" t="s">
        <v>64</v>
      </c>
      <c r="B52" s="39" t="str">
        <f>VLOOKUP(Tableau_REF_SMSR[[#This Row],['#SM]],Tableau_REF_Risques[['#SM]:[Intitulé SM]],2,FALSE)</f>
        <v>Modification illégitime des comptes et droits d'accès permettant de maintenir un accès au SI</v>
      </c>
      <c r="C52" t="s">
        <v>95</v>
      </c>
      <c r="D52">
        <v>3</v>
      </c>
      <c r="E52" s="45">
        <f t="shared" si="1"/>
        <v>3</v>
      </c>
    </row>
    <row r="53" spans="1:5" x14ac:dyDescent="0.2">
      <c r="A53" s="39" t="s">
        <v>65</v>
      </c>
      <c r="B53" s="39" t="str">
        <f>VLOOKUP(Tableau_REF_SMSR[[#This Row],['#SM]],Tableau_REF_Risques[['#SM]:[Intitulé SM]],2,FALSE)</f>
        <v>Installation de composants illégitimes au sein du navigateur Web</v>
      </c>
      <c r="C53" t="s">
        <v>95</v>
      </c>
      <c r="D53">
        <v>4</v>
      </c>
      <c r="E53" s="45">
        <f t="shared" si="1"/>
        <v>4</v>
      </c>
    </row>
    <row r="54" spans="1:5" x14ac:dyDescent="0.2">
      <c r="A54" s="39" t="s">
        <v>66</v>
      </c>
      <c r="B54" s="39" t="str">
        <f>VLOOKUP(Tableau_REF_SMSR[[#This Row],['#SM]],Tableau_REF_Risques[['#SM]:[Intitulé SM]],2,FALSE)</f>
        <v>Contournement des mécanismes de contrôle afin d'effectuer une élévation de privilèges</v>
      </c>
      <c r="C54" t="s">
        <v>95</v>
      </c>
      <c r="D54">
        <v>3</v>
      </c>
      <c r="E54" s="45">
        <f t="shared" si="1"/>
        <v>3</v>
      </c>
    </row>
    <row r="55" spans="1:5" x14ac:dyDescent="0.2">
      <c r="A55" s="39" t="s">
        <v>67</v>
      </c>
      <c r="B55" s="39" t="str">
        <f>VLOOKUP(Tableau_REF_SMSR[[#This Row],['#SM]],Tableau_REF_Risques[['#SM]:[Intitulé SM]],2,FALSE)</f>
        <v>Mouvement latéral en vue d'atteindre l'objectif</v>
      </c>
      <c r="C55" t="s">
        <v>95</v>
      </c>
      <c r="D55">
        <v>4</v>
      </c>
      <c r="E55" s="45">
        <f t="shared" si="1"/>
        <v>4</v>
      </c>
    </row>
    <row r="56" spans="1:5" x14ac:dyDescent="0.2">
      <c r="A56" s="39" t="s">
        <v>68</v>
      </c>
      <c r="B56" s="39" t="str">
        <f>VLOOKUP(Tableau_REF_SMSR[[#This Row],['#SM]],Tableau_REF_Risques[['#SM]:[Intitulé SM]],2,FALSE)</f>
        <v>Ouverture d'un canal de commande et d'exfiltration sur le réseau</v>
      </c>
      <c r="C56" t="s">
        <v>95</v>
      </c>
      <c r="D56">
        <v>4</v>
      </c>
      <c r="E56" s="45">
        <f t="shared" si="1"/>
        <v>4</v>
      </c>
    </row>
    <row r="57" spans="1:5" x14ac:dyDescent="0.2">
      <c r="A57" s="39" t="s">
        <v>69</v>
      </c>
      <c r="B57" s="39" t="str">
        <f>VLOOKUP(Tableau_REF_SMSR[[#This Row],['#SM]],Tableau_REF_Risques[['#SM]:[Intitulé SM]],2,FALSE)</f>
        <v>Chiffrement et/ou suppression de données par malveillance</v>
      </c>
      <c r="C57" t="s">
        <v>95</v>
      </c>
      <c r="D57">
        <v>4</v>
      </c>
      <c r="E57" s="45">
        <f t="shared" si="1"/>
        <v>4</v>
      </c>
    </row>
    <row r="58" spans="1:5" x14ac:dyDescent="0.2">
      <c r="A58" s="39" t="s">
        <v>70</v>
      </c>
      <c r="B58" s="39" t="str">
        <f>VLOOKUP(Tableau_REF_SMSR[[#This Row],['#SM]],Tableau_REF_Risques[['#SM]:[Intitulé SM]],2,FALSE)</f>
        <v>Indisponibilité des ressources suite à une attaque par DDoS</v>
      </c>
      <c r="C58" t="s">
        <v>95</v>
      </c>
      <c r="D58">
        <v>4</v>
      </c>
      <c r="E58" s="45">
        <f t="shared" si="1"/>
        <v>4</v>
      </c>
    </row>
    <row r="59" spans="1:5" x14ac:dyDescent="0.2">
      <c r="A59" s="39" t="s">
        <v>52</v>
      </c>
      <c r="B59" s="39" t="str">
        <f>VLOOKUP(Tableau_REF_SMSR[[#This Row],['#SM]],Tableau_REF_Risques[['#SM]:[Intitulé SM]],2,FALSE)</f>
        <v>Compromission d'un poste via l'accès à un site web infecté</v>
      </c>
      <c r="C59" t="s">
        <v>99</v>
      </c>
      <c r="D59">
        <v>2</v>
      </c>
      <c r="E59" s="45">
        <f t="shared" si="1"/>
        <v>2</v>
      </c>
    </row>
    <row r="60" spans="1:5" x14ac:dyDescent="0.2">
      <c r="A60" s="39" t="s">
        <v>53</v>
      </c>
      <c r="B60" s="39" t="str">
        <f>VLOOKUP(Tableau_REF_SMSR[[#This Row],['#SM]],Tableau_REF_Risques[['#SM]:[Intitulé SM]],2,FALSE)</f>
        <v>Compromission d'un poste par Phishing de l'utilisateur (Pièce jointe ou URL piégée)</v>
      </c>
      <c r="C60" t="s">
        <v>99</v>
      </c>
      <c r="D60">
        <v>4</v>
      </c>
      <c r="E60" s="45">
        <f t="shared" si="1"/>
        <v>4</v>
      </c>
    </row>
    <row r="61" spans="1:5" x14ac:dyDescent="0.2">
      <c r="A61" s="39" t="s">
        <v>54</v>
      </c>
      <c r="B61" s="39" t="str">
        <f>VLOOKUP(Tableau_REF_SMSR[[#This Row],['#SM]],Tableau_REF_Risques[['#SM]:[Intitulé SM]],2,FALSE)</f>
        <v>Compromission d'un service d'accès réseau à distance (ex VPN, VDI…)</v>
      </c>
      <c r="C61" t="s">
        <v>99</v>
      </c>
      <c r="D61">
        <v>2</v>
      </c>
      <c r="E61" s="45">
        <f t="shared" si="1"/>
        <v>2</v>
      </c>
    </row>
    <row r="62" spans="1:5" x14ac:dyDescent="0.2">
      <c r="A62" s="39" t="s">
        <v>55</v>
      </c>
      <c r="B62" s="39" t="str">
        <f>VLOOKUP(Tableau_REF_SMSR[[#This Row],['#SM]],Tableau_REF_Risques[['#SM]:[Intitulé SM]],2,FALSE)</f>
        <v>Compromission d'une application ou d'une API exposée sur Internet</v>
      </c>
      <c r="C62" t="s">
        <v>99</v>
      </c>
      <c r="D62">
        <v>3</v>
      </c>
      <c r="E62" s="45">
        <f t="shared" si="1"/>
        <v>3</v>
      </c>
    </row>
    <row r="63" spans="1:5" x14ac:dyDescent="0.2">
      <c r="A63" s="39" t="s">
        <v>56</v>
      </c>
      <c r="B63" s="39" t="str">
        <f>VLOOKUP(Tableau_REF_SMSR[[#This Row],['#SM]],Tableau_REF_Risques[['#SM]:[Intitulé SM]],2,FALSE)</f>
        <v>Compromission d'un poste via une clé USB infectée</v>
      </c>
      <c r="C63" t="s">
        <v>99</v>
      </c>
      <c r="D63">
        <v>2</v>
      </c>
      <c r="E63" s="45">
        <f t="shared" si="1"/>
        <v>2</v>
      </c>
    </row>
    <row r="64" spans="1:5" x14ac:dyDescent="0.2">
      <c r="A64" s="39" t="s">
        <v>57</v>
      </c>
      <c r="B64" s="39" t="str">
        <f>VLOOKUP(Tableau_REF_SMSR[[#This Row],['#SM]],Tableau_REF_Risques[['#SM]:[Intitulé SM]],2,FALSE)</f>
        <v>Compromission du réseau via une interconnexion partenaire (VPN)</v>
      </c>
      <c r="C64" t="s">
        <v>99</v>
      </c>
      <c r="D64">
        <v>2</v>
      </c>
      <c r="E64" s="45">
        <f t="shared" si="1"/>
        <v>2</v>
      </c>
    </row>
    <row r="65" spans="1:5" x14ac:dyDescent="0.2">
      <c r="A65" s="39" t="s">
        <v>58</v>
      </c>
      <c r="B65" s="39" t="str">
        <f>VLOOKUP(Tableau_REF_SMSR[[#This Row],['#SM]],Tableau_REF_Risques[['#SM]:[Intitulé SM]],2,FALSE)</f>
        <v>Compromission du réseau via l'utilisation d'identifiants volés</v>
      </c>
      <c r="C65" t="s">
        <v>99</v>
      </c>
      <c r="D65">
        <v>4</v>
      </c>
      <c r="E65" s="45">
        <f t="shared" si="1"/>
        <v>4</v>
      </c>
    </row>
    <row r="66" spans="1:5" x14ac:dyDescent="0.2">
      <c r="A66" s="39" t="s">
        <v>59</v>
      </c>
      <c r="B66" s="39" t="str">
        <f>VLOOKUP(Tableau_REF_SMSR[[#This Row],['#SM]],Tableau_REF_Risques[['#SM]:[Intitulé SM]],2,FALSE)</f>
        <v>Compromission du réseau via l'installation d'une application infectée</v>
      </c>
      <c r="C66" t="s">
        <v>99</v>
      </c>
      <c r="D66">
        <v>3</v>
      </c>
      <c r="E66" s="45">
        <f t="shared" ref="E66:E97" si="2">IF(VLOOKUP(C66,$G$2:$I$10,3,FALSE)="Forte",D66,0)</f>
        <v>3</v>
      </c>
    </row>
    <row r="67" spans="1:5" x14ac:dyDescent="0.2">
      <c r="A67" s="39" t="s">
        <v>60</v>
      </c>
      <c r="B67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67" t="s">
        <v>99</v>
      </c>
      <c r="D67">
        <v>2</v>
      </c>
      <c r="E67" s="45">
        <f t="shared" si="2"/>
        <v>2</v>
      </c>
    </row>
    <row r="68" spans="1:5" x14ac:dyDescent="0.2">
      <c r="A68" s="39" t="s">
        <v>61</v>
      </c>
      <c r="B68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68" t="s">
        <v>99</v>
      </c>
      <c r="D68">
        <v>1</v>
      </c>
      <c r="E68" s="45">
        <f t="shared" si="2"/>
        <v>1</v>
      </c>
    </row>
    <row r="69" spans="1:5" x14ac:dyDescent="0.2">
      <c r="A69" s="39" t="s">
        <v>62</v>
      </c>
      <c r="B69" s="39" t="str">
        <f>VLOOKUP(Tableau_REF_SMSR[[#This Row],['#SM]],Tableau_REF_Risques[['#SM]:[Intitulé SM]],2,FALSE)</f>
        <v>Exécution de scripts malveillants dans les interpréteurs de commande (Shell)</v>
      </c>
      <c r="C69" t="s">
        <v>99</v>
      </c>
      <c r="D69">
        <v>3</v>
      </c>
      <c r="E69" s="45">
        <f t="shared" si="2"/>
        <v>3</v>
      </c>
    </row>
    <row r="70" spans="1:5" x14ac:dyDescent="0.2">
      <c r="A70" s="39" t="s">
        <v>63</v>
      </c>
      <c r="B70" s="39" t="str">
        <f>VLOOKUP(Tableau_REF_SMSR[[#This Row],['#SM]],Tableau_REF_Risques[['#SM]:[Intitulé SM]],2,FALSE)</f>
        <v>Détournement des fonctions d'un OS pour exécuter un code malveillant (Services, Registre, Bootloader...)</v>
      </c>
      <c r="C70" t="s">
        <v>99</v>
      </c>
      <c r="D70">
        <v>3</v>
      </c>
      <c r="E70" s="45">
        <f t="shared" si="2"/>
        <v>3</v>
      </c>
    </row>
    <row r="71" spans="1:5" x14ac:dyDescent="0.2">
      <c r="A71" s="39" t="s">
        <v>64</v>
      </c>
      <c r="B71" s="39" t="str">
        <f>VLOOKUP(Tableau_REF_SMSR[[#This Row],['#SM]],Tableau_REF_Risques[['#SM]:[Intitulé SM]],2,FALSE)</f>
        <v>Modification illégitime des comptes et droits d'accès permettant de maintenir un accès au SI</v>
      </c>
      <c r="C71" t="s">
        <v>99</v>
      </c>
      <c r="D71">
        <v>3</v>
      </c>
      <c r="E71" s="45">
        <f t="shared" si="2"/>
        <v>3</v>
      </c>
    </row>
    <row r="72" spans="1:5" x14ac:dyDescent="0.2">
      <c r="A72" s="39" t="s">
        <v>65</v>
      </c>
      <c r="B72" s="39" t="str">
        <f>VLOOKUP(Tableau_REF_SMSR[[#This Row],['#SM]],Tableau_REF_Risques[['#SM]:[Intitulé SM]],2,FALSE)</f>
        <v>Installation de composants illégitimes au sein du navigateur Web</v>
      </c>
      <c r="C72" t="s">
        <v>99</v>
      </c>
      <c r="D72">
        <v>2</v>
      </c>
      <c r="E72" s="45">
        <f t="shared" si="2"/>
        <v>2</v>
      </c>
    </row>
    <row r="73" spans="1:5" x14ac:dyDescent="0.2">
      <c r="A73" s="39" t="s">
        <v>66</v>
      </c>
      <c r="B73" s="39" t="str">
        <f>VLOOKUP(Tableau_REF_SMSR[[#This Row],['#SM]],Tableau_REF_Risques[['#SM]:[Intitulé SM]],2,FALSE)</f>
        <v>Contournement des mécanismes de contrôle afin d'effectuer une élévation de privilèges</v>
      </c>
      <c r="C73" t="s">
        <v>99</v>
      </c>
      <c r="D73">
        <v>3</v>
      </c>
      <c r="E73" s="45">
        <f t="shared" si="2"/>
        <v>3</v>
      </c>
    </row>
    <row r="74" spans="1:5" x14ac:dyDescent="0.2">
      <c r="A74" s="39" t="s">
        <v>67</v>
      </c>
      <c r="B74" s="39" t="str">
        <f>VLOOKUP(Tableau_REF_SMSR[[#This Row],['#SM]],Tableau_REF_Risques[['#SM]:[Intitulé SM]],2,FALSE)</f>
        <v>Mouvement latéral en vue d'atteindre l'objectif</v>
      </c>
      <c r="C74" t="s">
        <v>99</v>
      </c>
      <c r="D74">
        <v>3</v>
      </c>
      <c r="E74" s="45">
        <f t="shared" si="2"/>
        <v>3</v>
      </c>
    </row>
    <row r="75" spans="1:5" x14ac:dyDescent="0.2">
      <c r="A75" s="39" t="s">
        <v>68</v>
      </c>
      <c r="B75" s="39" t="str">
        <f>VLOOKUP(Tableau_REF_SMSR[[#This Row],['#SM]],Tableau_REF_Risques[['#SM]:[Intitulé SM]],2,FALSE)</f>
        <v>Ouverture d'un canal de commande et d'exfiltration sur le réseau</v>
      </c>
      <c r="C75" t="s">
        <v>99</v>
      </c>
      <c r="D75">
        <v>4</v>
      </c>
      <c r="E75" s="45">
        <f t="shared" si="2"/>
        <v>4</v>
      </c>
    </row>
    <row r="76" spans="1:5" x14ac:dyDescent="0.2">
      <c r="A76" s="39" t="s">
        <v>69</v>
      </c>
      <c r="B76" s="39" t="str">
        <f>VLOOKUP(Tableau_REF_SMSR[[#This Row],['#SM]],Tableau_REF_Risques[['#SM]:[Intitulé SM]],2,FALSE)</f>
        <v>Chiffrement et/ou suppression de données par malveillance</v>
      </c>
      <c r="C76" t="s">
        <v>99</v>
      </c>
      <c r="D76">
        <v>3</v>
      </c>
      <c r="E76" s="45">
        <f t="shared" si="2"/>
        <v>3</v>
      </c>
    </row>
    <row r="77" spans="1:5" x14ac:dyDescent="0.2">
      <c r="A77" s="39" t="s">
        <v>70</v>
      </c>
      <c r="B77" s="39" t="str">
        <f>VLOOKUP(Tableau_REF_SMSR[[#This Row],['#SM]],Tableau_REF_Risques[['#SM]:[Intitulé SM]],2,FALSE)</f>
        <v>Indisponibilité des ressources suite à une attaque par DDoS</v>
      </c>
      <c r="C77" t="s">
        <v>99</v>
      </c>
      <c r="D77">
        <v>4</v>
      </c>
      <c r="E77" s="45">
        <f t="shared" si="2"/>
        <v>4</v>
      </c>
    </row>
    <row r="78" spans="1:5" x14ac:dyDescent="0.2">
      <c r="A78" s="39" t="s">
        <v>52</v>
      </c>
      <c r="B78" s="39" t="str">
        <f>VLOOKUP(Tableau_REF_SMSR[[#This Row],['#SM]],Tableau_REF_Risques[['#SM]:[Intitulé SM]],2,FALSE)</f>
        <v>Compromission d'un poste via l'accès à un site web infecté</v>
      </c>
      <c r="C78" t="s">
        <v>104</v>
      </c>
      <c r="D78">
        <v>1</v>
      </c>
      <c r="E78" s="45">
        <f t="shared" si="2"/>
        <v>0</v>
      </c>
    </row>
    <row r="79" spans="1:5" x14ac:dyDescent="0.2">
      <c r="A79" s="39" t="s">
        <v>53</v>
      </c>
      <c r="B79" s="39" t="str">
        <f>VLOOKUP(Tableau_REF_SMSR[[#This Row],['#SM]],Tableau_REF_Risques[['#SM]:[Intitulé SM]],2,FALSE)</f>
        <v>Compromission d'un poste par Phishing de l'utilisateur (Pièce jointe ou URL piégée)</v>
      </c>
      <c r="C79" s="39" t="s">
        <v>104</v>
      </c>
      <c r="D79">
        <v>3</v>
      </c>
      <c r="E79" s="45">
        <f t="shared" si="2"/>
        <v>0</v>
      </c>
    </row>
    <row r="80" spans="1:5" x14ac:dyDescent="0.2">
      <c r="A80" s="39" t="s">
        <v>54</v>
      </c>
      <c r="B80" s="39" t="str">
        <f>VLOOKUP(Tableau_REF_SMSR[[#This Row],['#SM]],Tableau_REF_Risques[['#SM]:[Intitulé SM]],2,FALSE)</f>
        <v>Compromission d'un service d'accès réseau à distance (ex VPN, VDI…)</v>
      </c>
      <c r="C80" s="39" t="s">
        <v>104</v>
      </c>
      <c r="D80">
        <v>1</v>
      </c>
      <c r="E80" s="45">
        <f t="shared" si="2"/>
        <v>0</v>
      </c>
    </row>
    <row r="81" spans="1:5" x14ac:dyDescent="0.2">
      <c r="A81" s="39" t="s">
        <v>55</v>
      </c>
      <c r="B81" s="39" t="str">
        <f>VLOOKUP(Tableau_REF_SMSR[[#This Row],['#SM]],Tableau_REF_Risques[['#SM]:[Intitulé SM]],2,FALSE)</f>
        <v>Compromission d'une application ou d'une API exposée sur Internet</v>
      </c>
      <c r="C81" s="39" t="s">
        <v>104</v>
      </c>
      <c r="D81">
        <v>1</v>
      </c>
      <c r="E81" s="45">
        <f t="shared" si="2"/>
        <v>0</v>
      </c>
    </row>
    <row r="82" spans="1:5" x14ac:dyDescent="0.2">
      <c r="A82" s="39" t="s">
        <v>56</v>
      </c>
      <c r="B82" s="39" t="str">
        <f>VLOOKUP(Tableau_REF_SMSR[[#This Row],['#SM]],Tableau_REF_Risques[['#SM]:[Intitulé SM]],2,FALSE)</f>
        <v>Compromission d'un poste via une clé USB infectée</v>
      </c>
      <c r="C82" s="39" t="s">
        <v>104</v>
      </c>
      <c r="D82">
        <v>2</v>
      </c>
      <c r="E82" s="45">
        <f t="shared" si="2"/>
        <v>0</v>
      </c>
    </row>
    <row r="83" spans="1:5" x14ac:dyDescent="0.2">
      <c r="A83" s="39" t="s">
        <v>57</v>
      </c>
      <c r="B83" s="39" t="str">
        <f>VLOOKUP(Tableau_REF_SMSR[[#This Row],['#SM]],Tableau_REF_Risques[['#SM]:[Intitulé SM]],2,FALSE)</f>
        <v>Compromission du réseau via une interconnexion partenaire (VPN)</v>
      </c>
      <c r="C83" s="39" t="s">
        <v>104</v>
      </c>
      <c r="D83">
        <v>1</v>
      </c>
      <c r="E83" s="45">
        <f t="shared" si="2"/>
        <v>0</v>
      </c>
    </row>
    <row r="84" spans="1:5" x14ac:dyDescent="0.2">
      <c r="A84" s="39" t="s">
        <v>58</v>
      </c>
      <c r="B84" s="39" t="str">
        <f>VLOOKUP(Tableau_REF_SMSR[[#This Row],['#SM]],Tableau_REF_Risques[['#SM]:[Intitulé SM]],2,FALSE)</f>
        <v>Compromission du réseau via l'utilisation d'identifiants volés</v>
      </c>
      <c r="C84" s="39" t="s">
        <v>104</v>
      </c>
      <c r="D84">
        <v>3</v>
      </c>
      <c r="E84" s="45">
        <f t="shared" si="2"/>
        <v>0</v>
      </c>
    </row>
    <row r="85" spans="1:5" x14ac:dyDescent="0.2">
      <c r="A85" s="39" t="s">
        <v>59</v>
      </c>
      <c r="B85" s="39" t="str">
        <f>VLOOKUP(Tableau_REF_SMSR[[#This Row],['#SM]],Tableau_REF_Risques[['#SM]:[Intitulé SM]],2,FALSE)</f>
        <v>Compromission du réseau via l'installation d'une application infectée</v>
      </c>
      <c r="C85" s="39" t="s">
        <v>104</v>
      </c>
      <c r="D85">
        <v>2</v>
      </c>
      <c r="E85" s="45">
        <f t="shared" si="2"/>
        <v>0</v>
      </c>
    </row>
    <row r="86" spans="1:5" x14ac:dyDescent="0.2">
      <c r="A86" s="39" t="s">
        <v>60</v>
      </c>
      <c r="B86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86" s="39" t="s">
        <v>104</v>
      </c>
      <c r="D86">
        <v>1</v>
      </c>
      <c r="E86" s="45">
        <f t="shared" si="2"/>
        <v>0</v>
      </c>
    </row>
    <row r="87" spans="1:5" x14ac:dyDescent="0.2">
      <c r="A87" s="39" t="s">
        <v>61</v>
      </c>
      <c r="B87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87" s="39" t="s">
        <v>104</v>
      </c>
      <c r="D87">
        <v>1</v>
      </c>
      <c r="E87" s="45">
        <f t="shared" si="2"/>
        <v>0</v>
      </c>
    </row>
    <row r="88" spans="1:5" x14ac:dyDescent="0.2">
      <c r="A88" s="39" t="s">
        <v>62</v>
      </c>
      <c r="B88" s="39" t="str">
        <f>VLOOKUP(Tableau_REF_SMSR[[#This Row],['#SM]],Tableau_REF_Risques[['#SM]:[Intitulé SM]],2,FALSE)</f>
        <v>Exécution de scripts malveillants dans les interpréteurs de commande (Shell)</v>
      </c>
      <c r="C88" s="39" t="s">
        <v>104</v>
      </c>
      <c r="D88">
        <v>1</v>
      </c>
      <c r="E88" s="45">
        <f t="shared" si="2"/>
        <v>0</v>
      </c>
    </row>
    <row r="89" spans="1:5" x14ac:dyDescent="0.2">
      <c r="A89" s="39" t="s">
        <v>63</v>
      </c>
      <c r="B89" s="39" t="str">
        <f>VLOOKUP(Tableau_REF_SMSR[[#This Row],['#SM]],Tableau_REF_Risques[['#SM]:[Intitulé SM]],2,FALSE)</f>
        <v>Détournement des fonctions d'un OS pour exécuter un code malveillant (Services, Registre, Bootloader...)</v>
      </c>
      <c r="C89" s="39" t="s">
        <v>104</v>
      </c>
      <c r="D89">
        <v>1</v>
      </c>
      <c r="E89" s="45">
        <f t="shared" si="2"/>
        <v>0</v>
      </c>
    </row>
    <row r="90" spans="1:5" x14ac:dyDescent="0.2">
      <c r="A90" s="39" t="s">
        <v>64</v>
      </c>
      <c r="B90" s="39" t="str">
        <f>VLOOKUP(Tableau_REF_SMSR[[#This Row],['#SM]],Tableau_REF_Risques[['#SM]:[Intitulé SM]],2,FALSE)</f>
        <v>Modification illégitime des comptes et droits d'accès permettant de maintenir un accès au SI</v>
      </c>
      <c r="C90" s="39" t="s">
        <v>104</v>
      </c>
      <c r="D90">
        <v>2</v>
      </c>
      <c r="E90" s="45">
        <f t="shared" si="2"/>
        <v>0</v>
      </c>
    </row>
    <row r="91" spans="1:5" x14ac:dyDescent="0.2">
      <c r="A91" s="39" t="s">
        <v>65</v>
      </c>
      <c r="B91" s="39" t="str">
        <f>VLOOKUP(Tableau_REF_SMSR[[#This Row],['#SM]],Tableau_REF_Risques[['#SM]:[Intitulé SM]],2,FALSE)</f>
        <v>Installation de composants illégitimes au sein du navigateur Web</v>
      </c>
      <c r="C91" s="39" t="s">
        <v>104</v>
      </c>
      <c r="D91">
        <v>2</v>
      </c>
      <c r="E91" s="45">
        <f t="shared" si="2"/>
        <v>0</v>
      </c>
    </row>
    <row r="92" spans="1:5" x14ac:dyDescent="0.2">
      <c r="A92" s="39" t="s">
        <v>66</v>
      </c>
      <c r="B92" s="39" t="str">
        <f>VLOOKUP(Tableau_REF_SMSR[[#This Row],['#SM]],Tableau_REF_Risques[['#SM]:[Intitulé SM]],2,FALSE)</f>
        <v>Contournement des mécanismes de contrôle afin d'effectuer une élévation de privilèges</v>
      </c>
      <c r="C92" s="39" t="s">
        <v>104</v>
      </c>
      <c r="D92">
        <v>2</v>
      </c>
      <c r="E92" s="45">
        <f t="shared" si="2"/>
        <v>0</v>
      </c>
    </row>
    <row r="93" spans="1:5" x14ac:dyDescent="0.2">
      <c r="A93" s="39" t="s">
        <v>67</v>
      </c>
      <c r="B93" s="39" t="str">
        <f>VLOOKUP(Tableau_REF_SMSR[[#This Row],['#SM]],Tableau_REF_Risques[['#SM]:[Intitulé SM]],2,FALSE)</f>
        <v>Mouvement latéral en vue d'atteindre l'objectif</v>
      </c>
      <c r="C93" s="39" t="s">
        <v>104</v>
      </c>
      <c r="D93">
        <v>1</v>
      </c>
      <c r="E93" s="45">
        <f t="shared" si="2"/>
        <v>0</v>
      </c>
    </row>
    <row r="94" spans="1:5" x14ac:dyDescent="0.2">
      <c r="A94" s="39" t="s">
        <v>68</v>
      </c>
      <c r="B94" s="39" t="str">
        <f>VLOOKUP(Tableau_REF_SMSR[[#This Row],['#SM]],Tableau_REF_Risques[['#SM]:[Intitulé SM]],2,FALSE)</f>
        <v>Ouverture d'un canal de commande et d'exfiltration sur le réseau</v>
      </c>
      <c r="C94" s="39" t="s">
        <v>104</v>
      </c>
      <c r="D94">
        <v>1</v>
      </c>
      <c r="E94" s="45">
        <f t="shared" si="2"/>
        <v>0</v>
      </c>
    </row>
    <row r="95" spans="1:5" x14ac:dyDescent="0.2">
      <c r="A95" s="39" t="s">
        <v>69</v>
      </c>
      <c r="B95" s="39" t="str">
        <f>VLOOKUP(Tableau_REF_SMSR[[#This Row],['#SM]],Tableau_REF_Risques[['#SM]:[Intitulé SM]],2,FALSE)</f>
        <v>Chiffrement et/ou suppression de données par malveillance</v>
      </c>
      <c r="C95" s="39" t="s">
        <v>104</v>
      </c>
      <c r="D95">
        <v>2</v>
      </c>
      <c r="E95" s="45">
        <f t="shared" si="2"/>
        <v>0</v>
      </c>
    </row>
    <row r="96" spans="1:5" x14ac:dyDescent="0.2">
      <c r="A96" s="39" t="s">
        <v>70</v>
      </c>
      <c r="B96" s="39" t="str">
        <f>VLOOKUP(Tableau_REF_SMSR[[#This Row],['#SM]],Tableau_REF_Risques[['#SM]:[Intitulé SM]],2,FALSE)</f>
        <v>Indisponibilité des ressources suite à une attaque par DDoS</v>
      </c>
      <c r="C96" s="39" t="s">
        <v>104</v>
      </c>
      <c r="D96">
        <v>1</v>
      </c>
      <c r="E96" s="45">
        <f t="shared" si="2"/>
        <v>0</v>
      </c>
    </row>
    <row r="97" spans="1:5" x14ac:dyDescent="0.2">
      <c r="A97" s="39" t="s">
        <v>52</v>
      </c>
      <c r="B97" s="39" t="str">
        <f>VLOOKUP(Tableau_REF_SMSR[[#This Row],['#SM]],Tableau_REF_Risques[['#SM]:[Intitulé SM]],2,FALSE)</f>
        <v>Compromission d'un poste via l'accès à un site web infecté</v>
      </c>
      <c r="C97" t="s">
        <v>107</v>
      </c>
      <c r="D97">
        <v>1</v>
      </c>
      <c r="E97" s="45">
        <f t="shared" si="2"/>
        <v>1</v>
      </c>
    </row>
    <row r="98" spans="1:5" x14ac:dyDescent="0.2">
      <c r="A98" s="39" t="s">
        <v>53</v>
      </c>
      <c r="B98" s="39" t="str">
        <f>VLOOKUP(Tableau_REF_SMSR[[#This Row],['#SM]],Tableau_REF_Risques[['#SM]:[Intitulé SM]],2,FALSE)</f>
        <v>Compromission d'un poste par Phishing de l'utilisateur (Pièce jointe ou URL piégée)</v>
      </c>
      <c r="C98" s="39" t="s">
        <v>107</v>
      </c>
      <c r="D98">
        <v>4</v>
      </c>
      <c r="E98" s="45">
        <f t="shared" ref="E98:E129" si="3">IF(VLOOKUP(C98,$G$2:$I$10,3,FALSE)="Forte",D98,0)</f>
        <v>4</v>
      </c>
    </row>
    <row r="99" spans="1:5" x14ac:dyDescent="0.2">
      <c r="A99" s="39" t="s">
        <v>54</v>
      </c>
      <c r="B99" s="39" t="str">
        <f>VLOOKUP(Tableau_REF_SMSR[[#This Row],['#SM]],Tableau_REF_Risques[['#SM]:[Intitulé SM]],2,FALSE)</f>
        <v>Compromission d'un service d'accès réseau à distance (ex VPN, VDI…)</v>
      </c>
      <c r="C99" s="39" t="s">
        <v>107</v>
      </c>
      <c r="D99">
        <v>1</v>
      </c>
      <c r="E99" s="45">
        <f t="shared" si="3"/>
        <v>1</v>
      </c>
    </row>
    <row r="100" spans="1:5" x14ac:dyDescent="0.2">
      <c r="A100" s="39" t="s">
        <v>55</v>
      </c>
      <c r="B100" s="39" t="str">
        <f>VLOOKUP(Tableau_REF_SMSR[[#This Row],['#SM]],Tableau_REF_Risques[['#SM]:[Intitulé SM]],2,FALSE)</f>
        <v>Compromission d'une application ou d'une API exposée sur Internet</v>
      </c>
      <c r="C100" s="39" t="s">
        <v>107</v>
      </c>
      <c r="D100">
        <v>1</v>
      </c>
      <c r="E100" s="45">
        <f t="shared" si="3"/>
        <v>1</v>
      </c>
    </row>
    <row r="101" spans="1:5" x14ac:dyDescent="0.2">
      <c r="A101" s="39" t="s">
        <v>56</v>
      </c>
      <c r="B101" s="39" t="str">
        <f>VLOOKUP(Tableau_REF_SMSR[[#This Row],['#SM]],Tableau_REF_Risques[['#SM]:[Intitulé SM]],2,FALSE)</f>
        <v>Compromission d'un poste via une clé USB infectée</v>
      </c>
      <c r="C101" s="39" t="s">
        <v>107</v>
      </c>
      <c r="D101">
        <v>3</v>
      </c>
      <c r="E101" s="45">
        <f t="shared" si="3"/>
        <v>3</v>
      </c>
    </row>
    <row r="102" spans="1:5" x14ac:dyDescent="0.2">
      <c r="A102" s="39" t="s">
        <v>57</v>
      </c>
      <c r="B102" s="39" t="str">
        <f>VLOOKUP(Tableau_REF_SMSR[[#This Row],['#SM]],Tableau_REF_Risques[['#SM]:[Intitulé SM]],2,FALSE)</f>
        <v>Compromission du réseau via une interconnexion partenaire (VPN)</v>
      </c>
      <c r="C102" s="39" t="s">
        <v>107</v>
      </c>
      <c r="D102">
        <v>2</v>
      </c>
      <c r="E102" s="45">
        <f t="shared" si="3"/>
        <v>2</v>
      </c>
    </row>
    <row r="103" spans="1:5" x14ac:dyDescent="0.2">
      <c r="A103" s="39" t="s">
        <v>58</v>
      </c>
      <c r="B103" s="39" t="str">
        <f>VLOOKUP(Tableau_REF_SMSR[[#This Row],['#SM]],Tableau_REF_Risques[['#SM]:[Intitulé SM]],2,FALSE)</f>
        <v>Compromission du réseau via l'utilisation d'identifiants volés</v>
      </c>
      <c r="C103" s="39" t="s">
        <v>107</v>
      </c>
      <c r="D103">
        <v>2</v>
      </c>
      <c r="E103" s="45">
        <f t="shared" si="3"/>
        <v>2</v>
      </c>
    </row>
    <row r="104" spans="1:5" x14ac:dyDescent="0.2">
      <c r="A104" s="39" t="s">
        <v>59</v>
      </c>
      <c r="B104" s="39" t="str">
        <f>VLOOKUP(Tableau_REF_SMSR[[#This Row],['#SM]],Tableau_REF_Risques[['#SM]:[Intitulé SM]],2,FALSE)</f>
        <v>Compromission du réseau via l'installation d'une application infectée</v>
      </c>
      <c r="C104" s="39" t="s">
        <v>107</v>
      </c>
      <c r="D104">
        <v>1</v>
      </c>
      <c r="E104" s="45">
        <f t="shared" si="3"/>
        <v>1</v>
      </c>
    </row>
    <row r="105" spans="1:5" x14ac:dyDescent="0.2">
      <c r="A105" s="39" t="s">
        <v>60</v>
      </c>
      <c r="B105" s="39" t="str">
        <f>VLOOKUP(Tableau_REF_SMSR[[#This Row],['#SM]],Tableau_REF_Risques[['#SM]:[Intitulé SM]],2,FALSE)</f>
        <v>Accès au réseau Wi-Fi par une personne non autorisée (absence ou contournement des mécanismes de sécurité)</v>
      </c>
      <c r="C105" s="39" t="s">
        <v>107</v>
      </c>
      <c r="D105">
        <v>2</v>
      </c>
      <c r="E105" s="45">
        <f t="shared" si="3"/>
        <v>2</v>
      </c>
    </row>
    <row r="106" spans="1:5" x14ac:dyDescent="0.2">
      <c r="A106" s="39" t="s">
        <v>61</v>
      </c>
      <c r="B106" s="39" t="str">
        <f>VLOOKUP(Tableau_REF_SMSR[[#This Row],['#SM]],Tableau_REF_Risques[['#SM]:[Intitulé SM]],2,FALSE)</f>
        <v>Accès au réseau filaire par une personne non autorisée (absence ou contournement des mécanismes de sécurité)</v>
      </c>
      <c r="C106" s="39" t="s">
        <v>107</v>
      </c>
      <c r="D106">
        <v>1</v>
      </c>
      <c r="E106" s="45">
        <f t="shared" si="3"/>
        <v>1</v>
      </c>
    </row>
    <row r="107" spans="1:5" x14ac:dyDescent="0.2">
      <c r="A107" s="39" t="s">
        <v>62</v>
      </c>
      <c r="B107" s="39" t="str">
        <f>VLOOKUP(Tableau_REF_SMSR[[#This Row],['#SM]],Tableau_REF_Risques[['#SM]:[Intitulé SM]],2,FALSE)</f>
        <v>Exécution de scripts malveillants dans les interpréteurs de commande (Shell)</v>
      </c>
      <c r="C107" s="39" t="s">
        <v>107</v>
      </c>
      <c r="D107">
        <v>1</v>
      </c>
      <c r="E107" s="45">
        <f t="shared" si="3"/>
        <v>1</v>
      </c>
    </row>
    <row r="108" spans="1:5" x14ac:dyDescent="0.2">
      <c r="A108" s="39" t="s">
        <v>63</v>
      </c>
      <c r="B108" s="39" t="str">
        <f>VLOOKUP(Tableau_REF_SMSR[[#This Row],['#SM]],Tableau_REF_Risques[['#SM]:[Intitulé SM]],2,FALSE)</f>
        <v>Détournement des fonctions d'un OS pour exécuter un code malveillant (Services, Registre, Bootloader...)</v>
      </c>
      <c r="C108" s="39" t="s">
        <v>107</v>
      </c>
      <c r="D108">
        <v>1</v>
      </c>
      <c r="E108" s="45">
        <f t="shared" si="3"/>
        <v>1</v>
      </c>
    </row>
    <row r="109" spans="1:5" x14ac:dyDescent="0.2">
      <c r="A109" s="39" t="s">
        <v>64</v>
      </c>
      <c r="B109" s="39" t="str">
        <f>VLOOKUP(Tableau_REF_SMSR[[#This Row],['#SM]],Tableau_REF_Risques[['#SM]:[Intitulé SM]],2,FALSE)</f>
        <v>Modification illégitime des comptes et droits d'accès permettant de maintenir un accès au SI</v>
      </c>
      <c r="C109" s="39" t="s">
        <v>107</v>
      </c>
      <c r="D109">
        <v>2</v>
      </c>
      <c r="E109" s="45">
        <f t="shared" si="3"/>
        <v>2</v>
      </c>
    </row>
    <row r="110" spans="1:5" x14ac:dyDescent="0.2">
      <c r="A110" s="39" t="s">
        <v>65</v>
      </c>
      <c r="B110" s="39" t="str">
        <f>VLOOKUP(Tableau_REF_SMSR[[#This Row],['#SM]],Tableau_REF_Risques[['#SM]:[Intitulé SM]],2,FALSE)</f>
        <v>Installation de composants illégitimes au sein du navigateur Web</v>
      </c>
      <c r="C110" s="39" t="s">
        <v>107</v>
      </c>
      <c r="D110">
        <v>1</v>
      </c>
      <c r="E110" s="45">
        <f t="shared" si="3"/>
        <v>1</v>
      </c>
    </row>
    <row r="111" spans="1:5" x14ac:dyDescent="0.2">
      <c r="A111" s="39" t="s">
        <v>66</v>
      </c>
      <c r="B111" s="39" t="str">
        <f>VLOOKUP(Tableau_REF_SMSR[[#This Row],['#SM]],Tableau_REF_Risques[['#SM]:[Intitulé SM]],2,FALSE)</f>
        <v>Contournement des mécanismes de contrôle afin d'effectuer une élévation de privilèges</v>
      </c>
      <c r="C111" s="39" t="s">
        <v>107</v>
      </c>
      <c r="D111">
        <v>1</v>
      </c>
      <c r="E111" s="45">
        <f t="shared" si="3"/>
        <v>1</v>
      </c>
    </row>
    <row r="112" spans="1:5" x14ac:dyDescent="0.2">
      <c r="A112" s="39" t="s">
        <v>67</v>
      </c>
      <c r="B112" s="39" t="str">
        <f>VLOOKUP(Tableau_REF_SMSR[[#This Row],['#SM]],Tableau_REF_Risques[['#SM]:[Intitulé SM]],2,FALSE)</f>
        <v>Mouvement latéral en vue d'atteindre l'objectif</v>
      </c>
      <c r="C112" s="39" t="s">
        <v>107</v>
      </c>
      <c r="D112">
        <v>1</v>
      </c>
      <c r="E112" s="45">
        <f t="shared" si="3"/>
        <v>1</v>
      </c>
    </row>
    <row r="113" spans="1:5" x14ac:dyDescent="0.2">
      <c r="A113" s="39" t="s">
        <v>68</v>
      </c>
      <c r="B113" s="39" t="str">
        <f>VLOOKUP(Tableau_REF_SMSR[[#This Row],['#SM]],Tableau_REF_Risques[['#SM]:[Intitulé SM]],2,FALSE)</f>
        <v>Ouverture d'un canal de commande et d'exfiltration sur le réseau</v>
      </c>
      <c r="C113" s="39" t="s">
        <v>107</v>
      </c>
      <c r="D113">
        <v>1</v>
      </c>
      <c r="E113" s="45">
        <f t="shared" si="3"/>
        <v>1</v>
      </c>
    </row>
    <row r="114" spans="1:5" x14ac:dyDescent="0.2">
      <c r="A114" s="39" t="s">
        <v>69</v>
      </c>
      <c r="B114" s="39" t="str">
        <f>VLOOKUP(Tableau_REF_SMSR[[#This Row],['#SM]],Tableau_REF_Risques[['#SM]:[Intitulé SM]],2,FALSE)</f>
        <v>Chiffrement et/ou suppression de données par malveillance</v>
      </c>
      <c r="C114" s="39" t="s">
        <v>107</v>
      </c>
      <c r="D114">
        <v>2</v>
      </c>
      <c r="E114" s="45">
        <f t="shared" si="3"/>
        <v>2</v>
      </c>
    </row>
    <row r="115" spans="1:5" x14ac:dyDescent="0.2">
      <c r="A115" s="39" t="s">
        <v>70</v>
      </c>
      <c r="B115" s="39" t="str">
        <f>VLOOKUP(Tableau_REF_SMSR[[#This Row],['#SM]],Tableau_REF_Risques[['#SM]:[Intitulé SM]],2,FALSE)</f>
        <v>Indisponibilité des ressources suite à une attaque par DDoS</v>
      </c>
      <c r="C115" s="39" t="s">
        <v>107</v>
      </c>
      <c r="D115">
        <v>1</v>
      </c>
      <c r="E115" s="45">
        <f t="shared" si="3"/>
        <v>1</v>
      </c>
    </row>
    <row r="116" spans="1:5" x14ac:dyDescent="0.2">
      <c r="A116" s="39" t="s">
        <v>52</v>
      </c>
      <c r="B116" s="39" t="str">
        <f>VLOOKUP(Tableau_REF_SMSR[[#This Row],['#SM]],Tableau_REF_Risques[['#SM]:[Intitulé SM]],2,FALSE)</f>
        <v>Compromission d'un poste via l'accès à un site web infecté</v>
      </c>
      <c r="C116" s="39" t="s">
        <v>356</v>
      </c>
      <c r="D116">
        <v>1</v>
      </c>
      <c r="E116" s="45">
        <f t="shared" si="3"/>
        <v>1</v>
      </c>
    </row>
    <row r="117" spans="1:5" x14ac:dyDescent="0.2">
      <c r="A117" s="39" t="s">
        <v>53</v>
      </c>
      <c r="B117" s="39" t="str">
        <f>VLOOKUP(Tableau_REF_SMSR[[#This Row],['#SM]],Tableau_REF_Risques[['#SM]:[Intitulé SM]],2,FALSE)</f>
        <v>Compromission d'un poste par Phishing de l'utilisateur (Pièce jointe ou URL piégée)</v>
      </c>
      <c r="C117" s="39" t="s">
        <v>356</v>
      </c>
      <c r="D117">
        <v>3</v>
      </c>
      <c r="E117" s="45">
        <f t="shared" si="3"/>
        <v>3</v>
      </c>
    </row>
    <row r="118" spans="1:5" x14ac:dyDescent="0.2">
      <c r="A118" s="39" t="s">
        <v>54</v>
      </c>
      <c r="B118" s="39" t="str">
        <f>VLOOKUP(Tableau_REF_SMSR[[#This Row],['#SM]],Tableau_REF_Risques[['#SM]:[Intitulé SM]],2,FALSE)</f>
        <v>Compromission d'un service d'accès réseau à distance (ex VPN, VDI…)</v>
      </c>
      <c r="C118" t="s">
        <v>356</v>
      </c>
      <c r="D118">
        <v>2</v>
      </c>
      <c r="E118" s="45">
        <f t="shared" si="3"/>
        <v>2</v>
      </c>
    </row>
    <row r="119" spans="1:5" x14ac:dyDescent="0.2">
      <c r="A119" s="39" t="s">
        <v>55</v>
      </c>
      <c r="B119" s="39" t="str">
        <f>VLOOKUP(Tableau_REF_SMSR[[#This Row],['#SM]],Tableau_REF_Risques[['#SM]:[Intitulé SM]],2,FALSE)</f>
        <v>Compromission d'une application ou d'une API exposée sur Internet</v>
      </c>
      <c r="C119" s="39" t="s">
        <v>356</v>
      </c>
      <c r="D119">
        <v>1</v>
      </c>
      <c r="E119" s="45">
        <f t="shared" si="3"/>
        <v>1</v>
      </c>
    </row>
    <row r="120" spans="1:5" x14ac:dyDescent="0.2">
      <c r="A120" s="39" t="s">
        <v>56</v>
      </c>
      <c r="B120" s="39" t="str">
        <f>VLOOKUP(Tableau_REF_SMSR[[#This Row],['#SM]],Tableau_REF_Risques[['#SM]:[Intitulé SM]],2,FALSE)</f>
        <v>Compromission d'un poste via une clé USB infectée</v>
      </c>
      <c r="C120" s="39" t="s">
        <v>356</v>
      </c>
      <c r="D120">
        <v>3</v>
      </c>
      <c r="E120" s="45">
        <f t="shared" si="3"/>
        <v>3</v>
      </c>
    </row>
    <row r="121" spans="1:5" x14ac:dyDescent="0.2">
      <c r="A121" s="39" t="s">
        <v>57</v>
      </c>
      <c r="B121" s="39" t="str">
        <f>VLOOKUP(Tableau_REF_SMSR[[#This Row],['#SM]],Tableau_REF_Risques[['#SM]:[Intitulé SM]],2,FALSE)</f>
        <v>Compromission du réseau via une interconnexion partenaire (VPN)</v>
      </c>
      <c r="C121" s="39" t="s">
        <v>356</v>
      </c>
      <c r="D121">
        <v>1</v>
      </c>
      <c r="E121" s="45">
        <f t="shared" si="3"/>
        <v>1</v>
      </c>
    </row>
    <row r="122" spans="1:5" x14ac:dyDescent="0.2">
      <c r="A122" s="39" t="s">
        <v>58</v>
      </c>
      <c r="B122" s="39" t="str">
        <f>VLOOKUP(Tableau_REF_SMSR[[#This Row],['#SM]],Tableau_REF_Risques[['#SM]:[Intitulé SM]],2,FALSE)</f>
        <v>Compromission du réseau via l'utilisation d'identifiants volés</v>
      </c>
      <c r="C122" s="39" t="s">
        <v>356</v>
      </c>
      <c r="D122">
        <v>3</v>
      </c>
      <c r="E122" s="45">
        <f t="shared" si="3"/>
        <v>3</v>
      </c>
    </row>
    <row r="123" spans="1:5" x14ac:dyDescent="0.2">
      <c r="A123" s="39" t="s">
        <v>59</v>
      </c>
      <c r="B123" s="39" t="str">
        <f>VLOOKUP(Tableau_REF_SMSR[[#This Row],['#SM]],Tableau_REF_Risques[['#SM]:[Intitulé SM]],2,FALSE)</f>
        <v>Compromission du réseau via l'installation d'une application infectée</v>
      </c>
      <c r="C123" s="39" t="s">
        <v>356</v>
      </c>
      <c r="D123">
        <v>2</v>
      </c>
      <c r="E123" s="45">
        <f t="shared" si="3"/>
        <v>2</v>
      </c>
    </row>
    <row r="124" spans="1:5" x14ac:dyDescent="0.2">
      <c r="A124" s="39" t="s">
        <v>62</v>
      </c>
      <c r="B124" s="39" t="str">
        <f>VLOOKUP(Tableau_REF_SMSR[[#This Row],['#SM]],Tableau_REF_Risques[['#SM]:[Intitulé SM]],2,FALSE)</f>
        <v>Exécution de scripts malveillants dans les interpréteurs de commande (Shell)</v>
      </c>
      <c r="C124" s="39" t="s">
        <v>356</v>
      </c>
      <c r="D124">
        <v>1</v>
      </c>
      <c r="E124" s="45">
        <f t="shared" si="3"/>
        <v>1</v>
      </c>
    </row>
    <row r="125" spans="1:5" x14ac:dyDescent="0.2">
      <c r="A125" s="39" t="s">
        <v>63</v>
      </c>
      <c r="B125" s="39" t="str">
        <f>VLOOKUP(Tableau_REF_SMSR[[#This Row],['#SM]],Tableau_REF_Risques[['#SM]:[Intitulé SM]],2,FALSE)</f>
        <v>Détournement des fonctions d'un OS pour exécuter un code malveillant (Services, Registre, Bootloader...)</v>
      </c>
      <c r="C125" s="39" t="s">
        <v>356</v>
      </c>
      <c r="D125">
        <v>1</v>
      </c>
      <c r="E125" s="45">
        <f t="shared" si="3"/>
        <v>1</v>
      </c>
    </row>
    <row r="126" spans="1:5" x14ac:dyDescent="0.2">
      <c r="A126" s="39" t="s">
        <v>64</v>
      </c>
      <c r="B126" s="39" t="str">
        <f>VLOOKUP(Tableau_REF_SMSR[[#This Row],['#SM]],Tableau_REF_Risques[['#SM]:[Intitulé SM]],2,FALSE)</f>
        <v>Modification illégitime des comptes et droits d'accès permettant de maintenir un accès au SI</v>
      </c>
      <c r="C126" s="39" t="s">
        <v>356</v>
      </c>
      <c r="D126">
        <v>2</v>
      </c>
      <c r="E126" s="45">
        <f t="shared" si="3"/>
        <v>2</v>
      </c>
    </row>
    <row r="127" spans="1:5" x14ac:dyDescent="0.2">
      <c r="A127" s="39" t="s">
        <v>65</v>
      </c>
      <c r="B127" s="39" t="str">
        <f>VLOOKUP(Tableau_REF_SMSR[[#This Row],['#SM]],Tableau_REF_Risques[['#SM]:[Intitulé SM]],2,FALSE)</f>
        <v>Installation de composants illégitimes au sein du navigateur Web</v>
      </c>
      <c r="C127" s="39" t="s">
        <v>356</v>
      </c>
      <c r="D127">
        <v>2</v>
      </c>
      <c r="E127" s="45">
        <f t="shared" si="3"/>
        <v>2</v>
      </c>
    </row>
    <row r="128" spans="1:5" x14ac:dyDescent="0.2">
      <c r="A128" s="39" t="s">
        <v>66</v>
      </c>
      <c r="B128" s="39" t="str">
        <f>VLOOKUP(Tableau_REF_SMSR[[#This Row],['#SM]],Tableau_REF_Risques[['#SM]:[Intitulé SM]],2,FALSE)</f>
        <v>Contournement des mécanismes de contrôle afin d'effectuer une élévation de privilèges</v>
      </c>
      <c r="C128" s="39" t="s">
        <v>356</v>
      </c>
      <c r="D128">
        <v>2</v>
      </c>
      <c r="E128" s="45">
        <f t="shared" si="3"/>
        <v>2</v>
      </c>
    </row>
    <row r="129" spans="1:5" x14ac:dyDescent="0.2">
      <c r="A129" s="39" t="s">
        <v>67</v>
      </c>
      <c r="B129" s="39" t="str">
        <f>VLOOKUP(Tableau_REF_SMSR[[#This Row],['#SM]],Tableau_REF_Risques[['#SM]:[Intitulé SM]],2,FALSE)</f>
        <v>Mouvement latéral en vue d'atteindre l'objectif</v>
      </c>
      <c r="C129" s="39" t="s">
        <v>356</v>
      </c>
      <c r="D129">
        <v>1</v>
      </c>
      <c r="E129" s="45">
        <f t="shared" si="3"/>
        <v>1</v>
      </c>
    </row>
    <row r="130" spans="1:5" x14ac:dyDescent="0.2">
      <c r="A130" s="39" t="s">
        <v>68</v>
      </c>
      <c r="B130" s="39" t="str">
        <f>VLOOKUP(Tableau_REF_SMSR[[#This Row],['#SM]],Tableau_REF_Risques[['#SM]:[Intitulé SM]],2,FALSE)</f>
        <v>Ouverture d'un canal de commande et d'exfiltration sur le réseau</v>
      </c>
      <c r="C130" s="39" t="s">
        <v>356</v>
      </c>
      <c r="D130">
        <v>1</v>
      </c>
      <c r="E130" s="45">
        <f t="shared" ref="E130:E161" si="4">IF(VLOOKUP(C130,$G$2:$I$10,3,FALSE)="Forte",D130,0)</f>
        <v>1</v>
      </c>
    </row>
    <row r="131" spans="1:5" x14ac:dyDescent="0.2">
      <c r="A131" s="39" t="s">
        <v>69</v>
      </c>
      <c r="B131" s="39" t="str">
        <f>VLOOKUP(Tableau_REF_SMSR[[#This Row],['#SM]],Tableau_REF_Risques[['#SM]:[Intitulé SM]],2,FALSE)</f>
        <v>Chiffrement et/ou suppression de données par malveillance</v>
      </c>
      <c r="C131" s="39" t="s">
        <v>356</v>
      </c>
      <c r="D131">
        <v>3</v>
      </c>
      <c r="E131" s="45">
        <f t="shared" si="4"/>
        <v>3</v>
      </c>
    </row>
    <row r="132" spans="1:5" x14ac:dyDescent="0.2">
      <c r="A132" s="39" t="s">
        <v>70</v>
      </c>
      <c r="B132" s="39" t="str">
        <f>VLOOKUP(Tableau_REF_SMSR[[#This Row],['#SM]],Tableau_REF_Risques[['#SM]:[Intitulé SM]],2,FALSE)</f>
        <v>Indisponibilité des ressources suite à une attaque par DDoS</v>
      </c>
      <c r="C132" s="39" t="s">
        <v>356</v>
      </c>
      <c r="D132">
        <v>1</v>
      </c>
      <c r="E132" s="45">
        <f t="shared" si="4"/>
        <v>1</v>
      </c>
    </row>
    <row r="133" spans="1:5" x14ac:dyDescent="0.2">
      <c r="A133" t="s">
        <v>71</v>
      </c>
      <c r="B133" s="39" t="str">
        <f>VLOOKUP(Tableau_REF_SMSR[[#This Row],['#SM]],Tableau_REF_Risques[['#SM]:[Intitulé SM]],2,FALSE)</f>
        <v>Abus de droits en vue d'effectuer une action malveillante</v>
      </c>
      <c r="C133" t="s">
        <v>356</v>
      </c>
      <c r="D133">
        <v>2</v>
      </c>
      <c r="E133" s="45">
        <f t="shared" si="4"/>
        <v>2</v>
      </c>
    </row>
    <row r="134" spans="1:5" x14ac:dyDescent="0.2">
      <c r="A134" s="39" t="s">
        <v>52</v>
      </c>
      <c r="B134" s="39" t="str">
        <f>VLOOKUP(Tableau_REF_SMSR[[#This Row],['#SM]],Tableau_REF_Risques[['#SM]:[Intitulé SM]],2,FALSE)</f>
        <v>Compromission d'un poste via l'accès à un site web infecté</v>
      </c>
      <c r="C134" t="s">
        <v>355</v>
      </c>
      <c r="D134">
        <v>1</v>
      </c>
      <c r="E134" s="45">
        <f t="shared" si="4"/>
        <v>0</v>
      </c>
    </row>
    <row r="135" spans="1:5" x14ac:dyDescent="0.2">
      <c r="A135" s="39" t="s">
        <v>53</v>
      </c>
      <c r="B135" s="39" t="str">
        <f>VLOOKUP(Tableau_REF_SMSR[[#This Row],['#SM]],Tableau_REF_Risques[['#SM]:[Intitulé SM]],2,FALSE)</f>
        <v>Compromission d'un poste par Phishing de l'utilisateur (Pièce jointe ou URL piégée)</v>
      </c>
      <c r="C135" s="39" t="s">
        <v>355</v>
      </c>
      <c r="D135">
        <v>2</v>
      </c>
      <c r="E135" s="45">
        <f t="shared" si="4"/>
        <v>0</v>
      </c>
    </row>
    <row r="136" spans="1:5" x14ac:dyDescent="0.2">
      <c r="A136" s="39" t="s">
        <v>54</v>
      </c>
      <c r="B136" s="39" t="str">
        <f>VLOOKUP(Tableau_REF_SMSR[[#This Row],['#SM]],Tableau_REF_Risques[['#SM]:[Intitulé SM]],2,FALSE)</f>
        <v>Compromission d'un service d'accès réseau à distance (ex VPN, VDI…)</v>
      </c>
      <c r="C136" s="39" t="s">
        <v>355</v>
      </c>
      <c r="D136">
        <v>1</v>
      </c>
      <c r="E136" s="45">
        <f t="shared" si="4"/>
        <v>0</v>
      </c>
    </row>
    <row r="137" spans="1:5" x14ac:dyDescent="0.2">
      <c r="A137" s="39" t="s">
        <v>55</v>
      </c>
      <c r="B137" s="39" t="str">
        <f>VLOOKUP(Tableau_REF_SMSR[[#This Row],['#SM]],Tableau_REF_Risques[['#SM]:[Intitulé SM]],2,FALSE)</f>
        <v>Compromission d'une application ou d'une API exposée sur Internet</v>
      </c>
      <c r="C137" s="39" t="s">
        <v>355</v>
      </c>
      <c r="D137">
        <v>1</v>
      </c>
      <c r="E137" s="45">
        <f t="shared" si="4"/>
        <v>0</v>
      </c>
    </row>
    <row r="138" spans="1:5" x14ac:dyDescent="0.2">
      <c r="A138" s="39" t="s">
        <v>56</v>
      </c>
      <c r="B138" s="39" t="str">
        <f>VLOOKUP(Tableau_REF_SMSR[[#This Row],['#SM]],Tableau_REF_Risques[['#SM]:[Intitulé SM]],2,FALSE)</f>
        <v>Compromission d'un poste via une clé USB infectée</v>
      </c>
      <c r="C138" s="39" t="s">
        <v>355</v>
      </c>
      <c r="D138">
        <v>3</v>
      </c>
      <c r="E138" s="45">
        <f t="shared" si="4"/>
        <v>0</v>
      </c>
    </row>
    <row r="139" spans="1:5" x14ac:dyDescent="0.2">
      <c r="A139" s="39" t="s">
        <v>57</v>
      </c>
      <c r="B139" s="39" t="str">
        <f>VLOOKUP(Tableau_REF_SMSR[[#This Row],['#SM]],Tableau_REF_Risques[['#SM]:[Intitulé SM]],2,FALSE)</f>
        <v>Compromission du réseau via une interconnexion partenaire (VPN)</v>
      </c>
      <c r="C139" s="39" t="s">
        <v>355</v>
      </c>
      <c r="D139">
        <v>1</v>
      </c>
      <c r="E139" s="45">
        <f t="shared" si="4"/>
        <v>0</v>
      </c>
    </row>
    <row r="140" spans="1:5" x14ac:dyDescent="0.2">
      <c r="A140" s="39" t="s">
        <v>58</v>
      </c>
      <c r="B140" s="39" t="str">
        <f>VLOOKUP(Tableau_REF_SMSR[[#This Row],['#SM]],Tableau_REF_Risques[['#SM]:[Intitulé SM]],2,FALSE)</f>
        <v>Compromission du réseau via l'utilisation d'identifiants volés</v>
      </c>
      <c r="C140" s="39" t="s">
        <v>355</v>
      </c>
      <c r="D140">
        <v>2</v>
      </c>
      <c r="E140" s="45">
        <f t="shared" si="4"/>
        <v>0</v>
      </c>
    </row>
    <row r="141" spans="1:5" x14ac:dyDescent="0.2">
      <c r="A141" s="39" t="s">
        <v>59</v>
      </c>
      <c r="B141" s="39" t="str">
        <f>VLOOKUP(Tableau_REF_SMSR[[#This Row],['#SM]],Tableau_REF_Risques[['#SM]:[Intitulé SM]],2,FALSE)</f>
        <v>Compromission du réseau via l'installation d'une application infectée</v>
      </c>
      <c r="C141" s="39" t="s">
        <v>355</v>
      </c>
      <c r="D141">
        <v>2</v>
      </c>
      <c r="E141" s="45">
        <f t="shared" si="4"/>
        <v>0</v>
      </c>
    </row>
    <row r="142" spans="1:5" x14ac:dyDescent="0.2">
      <c r="A142" s="39" t="s">
        <v>62</v>
      </c>
      <c r="B142" s="39" t="str">
        <f>VLOOKUP(Tableau_REF_SMSR[[#This Row],['#SM]],Tableau_REF_Risques[['#SM]:[Intitulé SM]],2,FALSE)</f>
        <v>Exécution de scripts malveillants dans les interpréteurs de commande (Shell)</v>
      </c>
      <c r="C142" s="39" t="s">
        <v>355</v>
      </c>
      <c r="D142">
        <v>1</v>
      </c>
      <c r="E142" s="45">
        <f t="shared" si="4"/>
        <v>0</v>
      </c>
    </row>
    <row r="143" spans="1:5" x14ac:dyDescent="0.2">
      <c r="A143" s="39" t="s">
        <v>63</v>
      </c>
      <c r="B143" s="39" t="str">
        <f>VLOOKUP(Tableau_REF_SMSR[[#This Row],['#SM]],Tableau_REF_Risques[['#SM]:[Intitulé SM]],2,FALSE)</f>
        <v>Détournement des fonctions d'un OS pour exécuter un code malveillant (Services, Registre, Bootloader...)</v>
      </c>
      <c r="C143" s="39" t="s">
        <v>355</v>
      </c>
      <c r="D143">
        <v>1</v>
      </c>
      <c r="E143" s="45">
        <f t="shared" si="4"/>
        <v>0</v>
      </c>
    </row>
    <row r="144" spans="1:5" x14ac:dyDescent="0.2">
      <c r="A144" s="39" t="s">
        <v>64</v>
      </c>
      <c r="B144" s="39" t="str">
        <f>VLOOKUP(Tableau_REF_SMSR[[#This Row],['#SM]],Tableau_REF_Risques[['#SM]:[Intitulé SM]],2,FALSE)</f>
        <v>Modification illégitime des comptes et droits d'accès permettant de maintenir un accès au SI</v>
      </c>
      <c r="C144" s="39" t="s">
        <v>355</v>
      </c>
      <c r="D144">
        <v>2</v>
      </c>
      <c r="E144" s="45">
        <f t="shared" si="4"/>
        <v>0</v>
      </c>
    </row>
    <row r="145" spans="1:5" x14ac:dyDescent="0.2">
      <c r="A145" s="39" t="s">
        <v>65</v>
      </c>
      <c r="B145" s="39" t="str">
        <f>VLOOKUP(Tableau_REF_SMSR[[#This Row],['#SM]],Tableau_REF_Risques[['#SM]:[Intitulé SM]],2,FALSE)</f>
        <v>Installation de composants illégitimes au sein du navigateur Web</v>
      </c>
      <c r="C145" s="39" t="s">
        <v>355</v>
      </c>
      <c r="D145">
        <v>1</v>
      </c>
      <c r="E145" s="45">
        <f t="shared" si="4"/>
        <v>0</v>
      </c>
    </row>
    <row r="146" spans="1:5" x14ac:dyDescent="0.2">
      <c r="A146" s="39" t="s">
        <v>66</v>
      </c>
      <c r="B146" s="39" t="str">
        <f>VLOOKUP(Tableau_REF_SMSR[[#This Row],['#SM]],Tableau_REF_Risques[['#SM]:[Intitulé SM]],2,FALSE)</f>
        <v>Contournement des mécanismes de contrôle afin d'effectuer une élévation de privilèges</v>
      </c>
      <c r="C146" s="39" t="s">
        <v>355</v>
      </c>
      <c r="D146">
        <v>3</v>
      </c>
      <c r="E146" s="45">
        <f t="shared" si="4"/>
        <v>0</v>
      </c>
    </row>
    <row r="147" spans="1:5" x14ac:dyDescent="0.2">
      <c r="A147" s="39" t="s">
        <v>67</v>
      </c>
      <c r="B147" s="39" t="str">
        <f>VLOOKUP(Tableau_REF_SMSR[[#This Row],['#SM]],Tableau_REF_Risques[['#SM]:[Intitulé SM]],2,FALSE)</f>
        <v>Mouvement latéral en vue d'atteindre l'objectif</v>
      </c>
      <c r="C147" s="39" t="s">
        <v>355</v>
      </c>
      <c r="D147">
        <v>1</v>
      </c>
      <c r="E147" s="45">
        <f t="shared" si="4"/>
        <v>0</v>
      </c>
    </row>
    <row r="148" spans="1:5" x14ac:dyDescent="0.2">
      <c r="A148" s="39" t="s">
        <v>68</v>
      </c>
      <c r="B148" s="39" t="str">
        <f>VLOOKUP(Tableau_REF_SMSR[[#This Row],['#SM]],Tableau_REF_Risques[['#SM]:[Intitulé SM]],2,FALSE)</f>
        <v>Ouverture d'un canal de commande et d'exfiltration sur le réseau</v>
      </c>
      <c r="C148" s="39" t="s">
        <v>355</v>
      </c>
      <c r="D148">
        <v>3</v>
      </c>
      <c r="E148" s="45">
        <f t="shared" si="4"/>
        <v>0</v>
      </c>
    </row>
    <row r="149" spans="1:5" x14ac:dyDescent="0.2">
      <c r="A149" s="39" t="s">
        <v>69</v>
      </c>
      <c r="B149" s="39" t="str">
        <f>VLOOKUP(Tableau_REF_SMSR[[#This Row],['#SM]],Tableau_REF_Risques[['#SM]:[Intitulé SM]],2,FALSE)</f>
        <v>Chiffrement et/ou suppression de données par malveillance</v>
      </c>
      <c r="C149" s="39" t="s">
        <v>355</v>
      </c>
      <c r="D149">
        <v>4</v>
      </c>
      <c r="E149" s="45">
        <f t="shared" si="4"/>
        <v>0</v>
      </c>
    </row>
    <row r="150" spans="1:5" x14ac:dyDescent="0.2">
      <c r="A150" s="39" t="s">
        <v>70</v>
      </c>
      <c r="B150" s="39" t="str">
        <f>VLOOKUP(Tableau_REF_SMSR[[#This Row],['#SM]],Tableau_REF_Risques[['#SM]:[Intitulé SM]],2,FALSE)</f>
        <v>Indisponibilité des ressources suite à une attaque par DDoS</v>
      </c>
      <c r="C150" s="39" t="s">
        <v>355</v>
      </c>
      <c r="D150">
        <v>1</v>
      </c>
      <c r="E150" s="45">
        <f t="shared" si="4"/>
        <v>0</v>
      </c>
    </row>
    <row r="151" spans="1:5" x14ac:dyDescent="0.2">
      <c r="A151" s="39" t="s">
        <v>71</v>
      </c>
      <c r="B151" s="39" t="str">
        <f>VLOOKUP(Tableau_REF_SMSR[[#This Row],['#SM]],Tableau_REF_Risques[['#SM]:[Intitulé SM]],2,FALSE)</f>
        <v>Abus de droits en vue d'effectuer une action malveillante</v>
      </c>
      <c r="C151" t="s">
        <v>355</v>
      </c>
      <c r="D151">
        <v>2</v>
      </c>
      <c r="E151" s="45">
        <f t="shared" si="4"/>
        <v>0</v>
      </c>
    </row>
    <row r="152" spans="1:5" x14ac:dyDescent="0.2">
      <c r="A152" s="39" t="s">
        <v>52</v>
      </c>
      <c r="B152" s="39" t="str">
        <f>VLOOKUP(Tableau_REF_SMSR[[#This Row],['#SM]],Tableau_REF_Risques[['#SM]:[Intitulé SM]],2,FALSE)</f>
        <v>Compromission d'un poste via l'accès à un site web infecté</v>
      </c>
      <c r="C152" t="s">
        <v>354</v>
      </c>
      <c r="D152">
        <v>2</v>
      </c>
      <c r="E152" s="45">
        <f t="shared" si="4"/>
        <v>0</v>
      </c>
    </row>
    <row r="153" spans="1:5" x14ac:dyDescent="0.2">
      <c r="A153" s="39" t="s">
        <v>53</v>
      </c>
      <c r="B153" s="39" t="str">
        <f>VLOOKUP(Tableau_REF_SMSR[[#This Row],['#SM]],Tableau_REF_Risques[['#SM]:[Intitulé SM]],2,FALSE)</f>
        <v>Compromission d'un poste par Phishing de l'utilisateur (Pièce jointe ou URL piégée)</v>
      </c>
      <c r="C153" s="39" t="s">
        <v>354</v>
      </c>
      <c r="D153">
        <v>2</v>
      </c>
      <c r="E153" s="45">
        <f t="shared" si="4"/>
        <v>0</v>
      </c>
    </row>
    <row r="154" spans="1:5" x14ac:dyDescent="0.2">
      <c r="A154" s="39" t="s">
        <v>54</v>
      </c>
      <c r="B154" s="39" t="str">
        <f>VLOOKUP(Tableau_REF_SMSR[[#This Row],['#SM]],Tableau_REF_Risques[['#SM]:[Intitulé SM]],2,FALSE)</f>
        <v>Compromission d'un service d'accès réseau à distance (ex VPN, VDI…)</v>
      </c>
      <c r="C154" s="39" t="s">
        <v>354</v>
      </c>
      <c r="D154">
        <v>3</v>
      </c>
      <c r="E154" s="45">
        <f t="shared" si="4"/>
        <v>0</v>
      </c>
    </row>
    <row r="155" spans="1:5" x14ac:dyDescent="0.2">
      <c r="A155" s="39" t="s">
        <v>55</v>
      </c>
      <c r="B155" s="39" t="str">
        <f>VLOOKUP(Tableau_REF_SMSR[[#This Row],['#SM]],Tableau_REF_Risques[['#SM]:[Intitulé SM]],2,FALSE)</f>
        <v>Compromission d'une application ou d'une API exposée sur Internet</v>
      </c>
      <c r="C155" s="39" t="s">
        <v>354</v>
      </c>
      <c r="D155">
        <v>3</v>
      </c>
      <c r="E155" s="45">
        <f t="shared" si="4"/>
        <v>0</v>
      </c>
    </row>
    <row r="156" spans="1:5" x14ac:dyDescent="0.2">
      <c r="A156" s="39" t="s">
        <v>56</v>
      </c>
      <c r="B156" s="39" t="str">
        <f>VLOOKUP(Tableau_REF_SMSR[[#This Row],['#SM]],Tableau_REF_Risques[['#SM]:[Intitulé SM]],2,FALSE)</f>
        <v>Compromission d'un poste via une clé USB infectée</v>
      </c>
      <c r="C156" s="39" t="s">
        <v>354</v>
      </c>
      <c r="D156">
        <v>3</v>
      </c>
      <c r="E156" s="45">
        <f t="shared" si="4"/>
        <v>0</v>
      </c>
    </row>
    <row r="157" spans="1:5" x14ac:dyDescent="0.2">
      <c r="A157" s="39" t="s">
        <v>57</v>
      </c>
      <c r="B157" s="39" t="str">
        <f>VLOOKUP(Tableau_REF_SMSR[[#This Row],['#SM]],Tableau_REF_Risques[['#SM]:[Intitulé SM]],2,FALSE)</f>
        <v>Compromission du réseau via une interconnexion partenaire (VPN)</v>
      </c>
      <c r="C157" s="39" t="s">
        <v>354</v>
      </c>
      <c r="D157">
        <v>2</v>
      </c>
      <c r="E157" s="45">
        <f t="shared" si="4"/>
        <v>0</v>
      </c>
    </row>
    <row r="158" spans="1:5" x14ac:dyDescent="0.2">
      <c r="A158" s="39" t="s">
        <v>58</v>
      </c>
      <c r="B158" s="39" t="str">
        <f>VLOOKUP(Tableau_REF_SMSR[[#This Row],['#SM]],Tableau_REF_Risques[['#SM]:[Intitulé SM]],2,FALSE)</f>
        <v>Compromission du réseau via l'utilisation d'identifiants volés</v>
      </c>
      <c r="C158" s="39" t="s">
        <v>354</v>
      </c>
      <c r="D158">
        <v>4</v>
      </c>
      <c r="E158" s="45">
        <f t="shared" si="4"/>
        <v>0</v>
      </c>
    </row>
    <row r="159" spans="1:5" x14ac:dyDescent="0.2">
      <c r="A159" s="39" t="s">
        <v>59</v>
      </c>
      <c r="B159" s="39" t="str">
        <f>VLOOKUP(Tableau_REF_SMSR[[#This Row],['#SM]],Tableau_REF_Risques[['#SM]:[Intitulé SM]],2,FALSE)</f>
        <v>Compromission du réseau via l'installation d'une application infectée</v>
      </c>
      <c r="C159" s="39" t="s">
        <v>354</v>
      </c>
      <c r="D159">
        <v>4</v>
      </c>
      <c r="E159" s="45">
        <f t="shared" si="4"/>
        <v>0</v>
      </c>
    </row>
    <row r="160" spans="1:5" x14ac:dyDescent="0.2">
      <c r="A160" s="39" t="s">
        <v>62</v>
      </c>
      <c r="B160" s="39" t="str">
        <f>VLOOKUP(Tableau_REF_SMSR[[#This Row],['#SM]],Tableau_REF_Risques[['#SM]:[Intitulé SM]],2,FALSE)</f>
        <v>Exécution de scripts malveillants dans les interpréteurs de commande (Shell)</v>
      </c>
      <c r="C160" s="39" t="s">
        <v>354</v>
      </c>
      <c r="D160">
        <v>4</v>
      </c>
      <c r="E160" s="45">
        <f t="shared" si="4"/>
        <v>0</v>
      </c>
    </row>
    <row r="161" spans="1:5" x14ac:dyDescent="0.2">
      <c r="A161" s="39" t="s">
        <v>63</v>
      </c>
      <c r="B161" s="39" t="str">
        <f>VLOOKUP(Tableau_REF_SMSR[[#This Row],['#SM]],Tableau_REF_Risques[['#SM]:[Intitulé SM]],2,FALSE)</f>
        <v>Détournement des fonctions d'un OS pour exécuter un code malveillant (Services, Registre, Bootloader...)</v>
      </c>
      <c r="C161" s="39" t="s">
        <v>354</v>
      </c>
      <c r="D161">
        <v>4</v>
      </c>
      <c r="E161" s="45">
        <f t="shared" si="4"/>
        <v>0</v>
      </c>
    </row>
    <row r="162" spans="1:5" x14ac:dyDescent="0.2">
      <c r="A162" s="39" t="s">
        <v>64</v>
      </c>
      <c r="B162" s="39" t="str">
        <f>VLOOKUP(Tableau_REF_SMSR[[#This Row],['#SM]],Tableau_REF_Risques[['#SM]:[Intitulé SM]],2,FALSE)</f>
        <v>Modification illégitime des comptes et droits d'accès permettant de maintenir un accès au SI</v>
      </c>
      <c r="C162" s="39" t="s">
        <v>354</v>
      </c>
      <c r="D162">
        <v>4</v>
      </c>
      <c r="E162" s="45">
        <f t="shared" ref="E162:E169" si="5">IF(VLOOKUP(C162,$G$2:$I$10,3,FALSE)="Forte",D162,0)</f>
        <v>0</v>
      </c>
    </row>
    <row r="163" spans="1:5" x14ac:dyDescent="0.2">
      <c r="A163" s="39" t="s">
        <v>65</v>
      </c>
      <c r="B163" s="39" t="str">
        <f>VLOOKUP(Tableau_REF_SMSR[[#This Row],['#SM]],Tableau_REF_Risques[['#SM]:[Intitulé SM]],2,FALSE)</f>
        <v>Installation de composants illégitimes au sein du navigateur Web</v>
      </c>
      <c r="C163" s="39" t="s">
        <v>354</v>
      </c>
      <c r="D163">
        <v>3</v>
      </c>
      <c r="E163" s="45">
        <f t="shared" si="5"/>
        <v>0</v>
      </c>
    </row>
    <row r="164" spans="1:5" x14ac:dyDescent="0.2">
      <c r="A164" s="39" t="s">
        <v>66</v>
      </c>
      <c r="B164" s="39" t="str">
        <f>VLOOKUP(Tableau_REF_SMSR[[#This Row],['#SM]],Tableau_REF_Risques[['#SM]:[Intitulé SM]],2,FALSE)</f>
        <v>Contournement des mécanismes de contrôle afin d'effectuer une élévation de privilèges</v>
      </c>
      <c r="C164" s="39" t="s">
        <v>354</v>
      </c>
      <c r="D164">
        <v>3</v>
      </c>
      <c r="E164" s="45">
        <f t="shared" si="5"/>
        <v>0</v>
      </c>
    </row>
    <row r="165" spans="1:5" x14ac:dyDescent="0.2">
      <c r="A165" s="39" t="s">
        <v>67</v>
      </c>
      <c r="B165" s="39" t="str">
        <f>VLOOKUP(Tableau_REF_SMSR[[#This Row],['#SM]],Tableau_REF_Risques[['#SM]:[Intitulé SM]],2,FALSE)</f>
        <v>Mouvement latéral en vue d'atteindre l'objectif</v>
      </c>
      <c r="C165" s="39" t="s">
        <v>354</v>
      </c>
      <c r="D165">
        <v>3</v>
      </c>
      <c r="E165" s="45">
        <f t="shared" si="5"/>
        <v>0</v>
      </c>
    </row>
    <row r="166" spans="1:5" x14ac:dyDescent="0.2">
      <c r="A166" s="39" t="s">
        <v>68</v>
      </c>
      <c r="B166" s="39" t="str">
        <f>VLOOKUP(Tableau_REF_SMSR[[#This Row],['#SM]],Tableau_REF_Risques[['#SM]:[Intitulé SM]],2,FALSE)</f>
        <v>Ouverture d'un canal de commande et d'exfiltration sur le réseau</v>
      </c>
      <c r="C166" s="39" t="s">
        <v>354</v>
      </c>
      <c r="D166">
        <v>4</v>
      </c>
      <c r="E166" s="45">
        <f t="shared" si="5"/>
        <v>0</v>
      </c>
    </row>
    <row r="167" spans="1:5" x14ac:dyDescent="0.2">
      <c r="A167" s="39" t="s">
        <v>69</v>
      </c>
      <c r="B167" s="39" t="str">
        <f>VLOOKUP(Tableau_REF_SMSR[[#This Row],['#SM]],Tableau_REF_Risques[['#SM]:[Intitulé SM]],2,FALSE)</f>
        <v>Chiffrement et/ou suppression de données par malveillance</v>
      </c>
      <c r="C167" s="39" t="s">
        <v>354</v>
      </c>
      <c r="D167">
        <v>4</v>
      </c>
      <c r="E167" s="45">
        <f t="shared" si="5"/>
        <v>0</v>
      </c>
    </row>
    <row r="168" spans="1:5" x14ac:dyDescent="0.2">
      <c r="A168" s="39" t="s">
        <v>70</v>
      </c>
      <c r="B168" s="39" t="str">
        <f>VLOOKUP(Tableau_REF_SMSR[[#This Row],['#SM]],Tableau_REF_Risques[['#SM]:[Intitulé SM]],2,FALSE)</f>
        <v>Indisponibilité des ressources suite à une attaque par DDoS</v>
      </c>
      <c r="C168" s="39" t="s">
        <v>354</v>
      </c>
      <c r="D168">
        <v>2</v>
      </c>
      <c r="E168" s="45">
        <f t="shared" si="5"/>
        <v>0</v>
      </c>
    </row>
    <row r="169" spans="1:5" x14ac:dyDescent="0.2">
      <c r="A169" s="39" t="s">
        <v>71</v>
      </c>
      <c r="B169" s="39" t="str">
        <f>VLOOKUP(Tableau_REF_SMSR[[#This Row],['#SM]],Tableau_REF_Risques[['#SM]:[Intitulé SM]],2,FALSE)</f>
        <v>Abus de droits en vue d'effectuer une action malveillante</v>
      </c>
      <c r="C169" t="s">
        <v>354</v>
      </c>
      <c r="D169">
        <v>4</v>
      </c>
      <c r="E169" s="45">
        <f t="shared" si="5"/>
        <v>0</v>
      </c>
    </row>
    <row r="170" spans="1:5" x14ac:dyDescent="0.2">
      <c r="A170" t="s">
        <v>72</v>
      </c>
      <c r="B170" s="39" t="str">
        <f>VLOOKUP(Tableau_REF_SMSR[[#This Row],['#SM]],Tableau_REF_Risques[['#SM]:[Intitulé SM]],2,FALSE)</f>
        <v>Erreur humaine entrainant une indisponibilité des services</v>
      </c>
      <c r="C170" s="39" t="s">
        <v>356</v>
      </c>
      <c r="D170">
        <v>1</v>
      </c>
      <c r="E170" s="45">
        <f t="shared" ref="E170:E178" si="6">IF(VLOOKUP(C170,$G$11:$I$13,3,FALSE)="Forte",D170,0)</f>
        <v>1</v>
      </c>
    </row>
    <row r="171" spans="1:5" x14ac:dyDescent="0.2">
      <c r="A171" t="s">
        <v>73</v>
      </c>
      <c r="B171" s="39" t="str">
        <f>VLOOKUP(Tableau_REF_SMSR[[#This Row],['#SM]],Tableau_REF_Risques[['#SM]:[Intitulé SM]],2,FALSE)</f>
        <v>Erreur humaine entrainant une altération des services et/ou données</v>
      </c>
      <c r="C171" s="39" t="s">
        <v>356</v>
      </c>
      <c r="D171">
        <v>4</v>
      </c>
      <c r="E171" s="45">
        <f t="shared" si="6"/>
        <v>4</v>
      </c>
    </row>
    <row r="172" spans="1:5" x14ac:dyDescent="0.2">
      <c r="A172" t="s">
        <v>74</v>
      </c>
      <c r="B172" s="39" t="str">
        <f>VLOOKUP(Tableau_REF_SMSR[[#This Row],['#SM]],Tableau_REF_Risques[['#SM]:[Intitulé SM]],2,FALSE)</f>
        <v>Erreur humaine entrainant une fuite de données</v>
      </c>
      <c r="C172" s="39" t="s">
        <v>356</v>
      </c>
      <c r="D172">
        <v>4</v>
      </c>
      <c r="E172" s="45">
        <f t="shared" si="6"/>
        <v>4</v>
      </c>
    </row>
    <row r="173" spans="1:5" x14ac:dyDescent="0.2">
      <c r="A173" s="39" t="s">
        <v>72</v>
      </c>
      <c r="B173" s="39" t="str">
        <f>VLOOKUP(Tableau_REF_SMSR[[#This Row],['#SM]],Tableau_REF_Risques[['#SM]:[Intitulé SM]],2,FALSE)</f>
        <v>Erreur humaine entrainant une indisponibilité des services</v>
      </c>
      <c r="C173" s="39" t="s">
        <v>355</v>
      </c>
      <c r="D173">
        <v>1</v>
      </c>
      <c r="E173" s="45">
        <f t="shared" si="6"/>
        <v>1</v>
      </c>
    </row>
    <row r="174" spans="1:5" x14ac:dyDescent="0.2">
      <c r="A174" s="39" t="s">
        <v>73</v>
      </c>
      <c r="B174" s="39" t="str">
        <f>VLOOKUP(Tableau_REF_SMSR[[#This Row],['#SM]],Tableau_REF_Risques[['#SM]:[Intitulé SM]],2,FALSE)</f>
        <v>Erreur humaine entrainant une altération des services et/ou données</v>
      </c>
      <c r="C174" s="39" t="s">
        <v>355</v>
      </c>
      <c r="D174">
        <v>3</v>
      </c>
      <c r="E174" s="45">
        <f t="shared" si="6"/>
        <v>3</v>
      </c>
    </row>
    <row r="175" spans="1:5" x14ac:dyDescent="0.2">
      <c r="A175" s="39" t="s">
        <v>74</v>
      </c>
      <c r="B175" s="39" t="str">
        <f>VLOOKUP(Tableau_REF_SMSR[[#This Row],['#SM]],Tableau_REF_Risques[['#SM]:[Intitulé SM]],2,FALSE)</f>
        <v>Erreur humaine entrainant une fuite de données</v>
      </c>
      <c r="C175" s="39" t="s">
        <v>355</v>
      </c>
      <c r="D175">
        <v>3</v>
      </c>
      <c r="E175" s="45">
        <f t="shared" si="6"/>
        <v>3</v>
      </c>
    </row>
    <row r="176" spans="1:5" x14ac:dyDescent="0.2">
      <c r="A176" s="39" t="s">
        <v>72</v>
      </c>
      <c r="B176" s="39" t="str">
        <f>VLOOKUP(Tableau_REF_SMSR[[#This Row],['#SM]],Tableau_REF_Risques[['#SM]:[Intitulé SM]],2,FALSE)</f>
        <v>Erreur humaine entrainant une indisponibilité des services</v>
      </c>
      <c r="C176" s="39" t="s">
        <v>354</v>
      </c>
      <c r="D176">
        <v>2</v>
      </c>
      <c r="E176" s="45">
        <f t="shared" si="6"/>
        <v>2</v>
      </c>
    </row>
    <row r="177" spans="1:5" x14ac:dyDescent="0.2">
      <c r="A177" s="39" t="s">
        <v>73</v>
      </c>
      <c r="B177" s="39" t="str">
        <f>VLOOKUP(Tableau_REF_SMSR[[#This Row],['#SM]],Tableau_REF_Risques[['#SM]:[Intitulé SM]],2,FALSE)</f>
        <v>Erreur humaine entrainant une altération des services et/ou données</v>
      </c>
      <c r="C177" s="39" t="s">
        <v>354</v>
      </c>
      <c r="D177">
        <v>1</v>
      </c>
      <c r="E177" s="45">
        <f t="shared" si="6"/>
        <v>1</v>
      </c>
    </row>
    <row r="178" spans="1:5" x14ac:dyDescent="0.2">
      <c r="A178" s="39" t="s">
        <v>74</v>
      </c>
      <c r="B178" s="39" t="str">
        <f>VLOOKUP(Tableau_REF_SMSR[[#This Row],['#SM]],Tableau_REF_Risques[['#SM]:[Intitulé SM]],2,FALSE)</f>
        <v>Erreur humaine entrainant une fuite de données</v>
      </c>
      <c r="C178" s="39" t="s">
        <v>354</v>
      </c>
      <c r="D178">
        <v>1</v>
      </c>
      <c r="E178" s="45">
        <f t="shared" si="6"/>
        <v>1</v>
      </c>
    </row>
    <row r="179" spans="1:5" x14ac:dyDescent="0.2">
      <c r="A179" s="65" t="s">
        <v>75</v>
      </c>
      <c r="B179" s="39" t="str">
        <f>VLOOKUP(Tableau_REF_SMSR[[#This Row],['#SM]],Tableau_REF_Risques[['#SM]:[Intitulé SM]],2,FALSE)</f>
        <v>Incapacité à gérer un terminal et à mettre en oeuvre une politique de sécurité</v>
      </c>
      <c r="C179" s="65" t="s">
        <v>373</v>
      </c>
      <c r="E179" s="83">
        <f>ROUND((VLOOKUP(INPUT_ContexteBIA!B17,DATA_Listes!A20:B23,2,FALSE)+VLOOKUP(INPUT_ContexteBIA!B18,DATA_Listes!A20:B23,2,FALSE))/2,0)</f>
        <v>2</v>
      </c>
    </row>
    <row r="180" spans="1:5" s="39" customFormat="1" x14ac:dyDescent="0.2">
      <c r="A180" s="65" t="s">
        <v>76</v>
      </c>
      <c r="B180" s="65" t="str">
        <f>VLOOKUP(Tableau_REF_SMSR[[#This Row],['#SM]],Tableau_REF_Risques[['#SM]:[Intitulé SM]],2,FALSE)</f>
        <v>Environnement réseau complexe impliquant des risques d'erreur importants sur les règles de cloisonnement et de filtrage réseau</v>
      </c>
      <c r="C180" s="65" t="s">
        <v>373</v>
      </c>
      <c r="E180" s="83">
        <f>VLOOKUP('INPUT_Mesures Actuelles'!B7,DATA_Listes!A46:B49,2,FALSE)</f>
        <v>4</v>
      </c>
    </row>
    <row r="181" spans="1:5" x14ac:dyDescent="0.2">
      <c r="A181" s="65" t="s">
        <v>77</v>
      </c>
      <c r="B181" s="65" t="str">
        <f>VLOOKUP(Tableau_REF_SMSR[[#This Row],['#SM]],Tableau_REF_Risques[['#SM]:[Intitulé SM]],2,FALSE)</f>
        <v>Déploiement en production de codes applicatifs vulnérables</v>
      </c>
      <c r="C181" s="65" t="s">
        <v>373</v>
      </c>
      <c r="E181" s="83">
        <f>VLOOKUP(INPUT_ContexteBIA!B20,DATA_Listes!A14:B17,2,FALSE)</f>
        <v>2</v>
      </c>
    </row>
    <row r="182" spans="1:5" x14ac:dyDescent="0.2">
      <c r="A182" s="65" t="s">
        <v>78</v>
      </c>
      <c r="B182" s="65" t="str">
        <f>VLOOKUP(Tableau_REF_SMSR[[#This Row],['#SM]],Tableau_REF_Risques[['#SM]:[Intitulé SM]],2,FALSE)</f>
        <v>Incapacité à détecter un incident de sécurité et à fournir une piste d'audit post-mortem</v>
      </c>
      <c r="C182" s="65" t="s">
        <v>373</v>
      </c>
      <c r="E182" s="83">
        <f>ROUND((VLOOKUP(INPUT_ContexteBIA!B17,DATA_Listes!A20:B23,2,FALSE)+VLOOKUP(INPUT_ContexteBIA!B18,DATA_Listes!A20:B23,2,FALSE)+VLOOKUP('INPUT_Mesures Actuelles'!B7,DATA_Listes!A46:B49,2,FALSE))/3,0)</f>
        <v>2</v>
      </c>
    </row>
  </sheetData>
  <phoneticPr fontId="11" type="noConversion"/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63"/>
  <sheetViews>
    <sheetView workbookViewId="0">
      <selection activeCell="D20" sqref="D20"/>
    </sheetView>
  </sheetViews>
  <sheetFormatPr baseColWidth="10" defaultColWidth="14.42578125" defaultRowHeight="15.75" customHeight="1" x14ac:dyDescent="0.2"/>
  <cols>
    <col min="1" max="26" width="29.140625" customWidth="1"/>
  </cols>
  <sheetData>
    <row r="1" spans="1:26" ht="15.75" customHeight="1" x14ac:dyDescent="0.25">
      <c r="A1" s="176" t="s">
        <v>299</v>
      </c>
      <c r="B1" s="177"/>
      <c r="C1" s="17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34" t="s">
        <v>300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35" t="s">
        <v>301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35" t="s">
        <v>302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35" t="s">
        <v>303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35" t="s">
        <v>304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36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34" t="s">
        <v>305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35" t="s">
        <v>308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35" t="s">
        <v>307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35" t="s">
        <v>306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36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34" t="s">
        <v>309</v>
      </c>
      <c r="B13" s="37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35" t="s">
        <v>310</v>
      </c>
      <c r="B14" s="4">
        <v>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35" t="s">
        <v>30</v>
      </c>
      <c r="B15" s="4">
        <v>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35" t="s">
        <v>311</v>
      </c>
      <c r="B16" s="4">
        <v>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35" t="s">
        <v>312</v>
      </c>
      <c r="B17" s="4">
        <v>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34"/>
      <c r="B18" s="37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34" t="s">
        <v>313</v>
      </c>
      <c r="B19" s="37" t="s">
        <v>314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35" t="s">
        <v>25</v>
      </c>
      <c r="B20" s="4">
        <v>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" x14ac:dyDescent="0.25">
      <c r="A21" s="35" t="s">
        <v>27</v>
      </c>
      <c r="B21" s="4">
        <v>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" x14ac:dyDescent="0.25">
      <c r="A22" s="35" t="s">
        <v>315</v>
      </c>
      <c r="B22" s="4">
        <v>3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" x14ac:dyDescent="0.25">
      <c r="A23" s="35" t="s">
        <v>316</v>
      </c>
      <c r="B23" s="4">
        <v>4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" x14ac:dyDescent="0.25">
      <c r="A24" s="36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" x14ac:dyDescent="0.25">
      <c r="A25" s="34" t="s">
        <v>317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" x14ac:dyDescent="0.25">
      <c r="A26" s="35" t="s">
        <v>318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" x14ac:dyDescent="0.25">
      <c r="A27" s="35" t="s">
        <v>301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" x14ac:dyDescent="0.25">
      <c r="A28" s="35" t="s">
        <v>319</v>
      </c>
      <c r="B28" s="3"/>
      <c r="C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" x14ac:dyDescent="0.25">
      <c r="A29" s="35" t="s">
        <v>320</v>
      </c>
      <c r="B29" s="3"/>
      <c r="C29" s="3"/>
      <c r="D29" s="4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s="84" customFormat="1" ht="15" x14ac:dyDescent="0.25">
      <c r="A30" s="36"/>
      <c r="B30" s="6"/>
      <c r="C30" s="6"/>
      <c r="D30" s="4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s="84" customFormat="1" ht="15" x14ac:dyDescent="0.25">
      <c r="A31" s="36" t="s">
        <v>423</v>
      </c>
      <c r="B31" s="6"/>
      <c r="C31" s="6"/>
      <c r="D31" s="4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s="84" customFormat="1" ht="15" x14ac:dyDescent="0.25">
      <c r="A32"/>
      <c r="B32" s="6" t="s">
        <v>185</v>
      </c>
      <c r="C32" s="6" t="s">
        <v>186</v>
      </c>
      <c r="D32" s="4" t="s">
        <v>187</v>
      </c>
      <c r="E32" s="4" t="s">
        <v>188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s="84" customFormat="1" ht="15" x14ac:dyDescent="0.25">
      <c r="A33" s="36" t="str">
        <f>A9</f>
        <v>Faible (peu de traitements)</v>
      </c>
      <c r="B33" s="40">
        <v>2</v>
      </c>
      <c r="C33" s="6">
        <v>3</v>
      </c>
      <c r="D33" s="4">
        <v>3</v>
      </c>
      <c r="E33" s="6">
        <v>3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s="84" customFormat="1" ht="15" x14ac:dyDescent="0.25">
      <c r="A34" s="36" t="str">
        <f t="shared" ref="A34:A35" si="0">A10</f>
        <v>Modérée (traitements en nombres modérés)</v>
      </c>
      <c r="B34" s="40">
        <v>3</v>
      </c>
      <c r="C34" s="40">
        <v>3</v>
      </c>
      <c r="D34" s="40">
        <v>3</v>
      </c>
      <c r="E34" s="40">
        <v>3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s="84" customFormat="1" ht="15" x14ac:dyDescent="0.25">
      <c r="A35" s="36" t="str">
        <f t="shared" si="0"/>
        <v>Forte (traitements sensibles et/ou en grande quantité)</v>
      </c>
      <c r="B35">
        <v>4</v>
      </c>
      <c r="C35" s="6">
        <v>4</v>
      </c>
      <c r="D35" s="4">
        <v>4</v>
      </c>
      <c r="E35" s="6">
        <v>4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s="84" customFormat="1" ht="15" x14ac:dyDescent="0.25">
      <c r="A36" s="6" t="s">
        <v>422</v>
      </c>
      <c r="B36">
        <v>4</v>
      </c>
      <c r="C36" s="6">
        <v>4</v>
      </c>
      <c r="D36" s="4">
        <v>4</v>
      </c>
      <c r="E36" s="6">
        <v>4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" x14ac:dyDescent="0.25">
      <c r="A37" s="35"/>
      <c r="B37" s="3"/>
      <c r="C37" s="3"/>
      <c r="D37" s="4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" x14ac:dyDescent="0.25">
      <c r="A38" s="176" t="s">
        <v>321</v>
      </c>
      <c r="B38" s="177"/>
      <c r="C38" s="177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" x14ac:dyDescent="0.25">
      <c r="A39" s="34" t="s">
        <v>322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" x14ac:dyDescent="0.25">
      <c r="A40" s="35" t="s">
        <v>22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" x14ac:dyDescent="0.25">
      <c r="A41" s="35" t="s">
        <v>323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" x14ac:dyDescent="0.25">
      <c r="A42" s="35" t="s">
        <v>324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" x14ac:dyDescent="0.25">
      <c r="A43" s="35" t="s">
        <v>121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" x14ac:dyDescent="0.25">
      <c r="A44" s="36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" x14ac:dyDescent="0.25">
      <c r="A45" s="34" t="s">
        <v>325</v>
      </c>
      <c r="B45" s="37" t="s">
        <v>326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" x14ac:dyDescent="0.25">
      <c r="A46" s="35" t="s">
        <v>327</v>
      </c>
      <c r="B46" s="4">
        <v>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" x14ac:dyDescent="0.25">
      <c r="A47" s="35" t="s">
        <v>328</v>
      </c>
      <c r="B47" s="4">
        <v>2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" x14ac:dyDescent="0.25">
      <c r="A48" s="35" t="s">
        <v>329</v>
      </c>
      <c r="B48" s="4">
        <v>3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" x14ac:dyDescent="0.25">
      <c r="A49" s="35" t="s">
        <v>124</v>
      </c>
      <c r="B49" s="4">
        <v>4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" x14ac:dyDescent="0.25">
      <c r="A50" s="36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" x14ac:dyDescent="0.25">
      <c r="A51" s="34" t="s">
        <v>330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" x14ac:dyDescent="0.25">
      <c r="A52" s="35" t="s">
        <v>22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" x14ac:dyDescent="0.25">
      <c r="A53" s="35" t="s">
        <v>331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" x14ac:dyDescent="0.25">
      <c r="A54" s="35" t="s">
        <v>133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" x14ac:dyDescent="0.25">
      <c r="A55" s="35" t="s">
        <v>332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" x14ac:dyDescent="0.25">
      <c r="A56" s="36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" x14ac:dyDescent="0.25">
      <c r="A57" s="34" t="s">
        <v>333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" x14ac:dyDescent="0.25">
      <c r="A58" s="35" t="s">
        <v>22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" x14ac:dyDescent="0.25">
      <c r="A59" s="35" t="s">
        <v>334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" x14ac:dyDescent="0.25">
      <c r="A60" s="35" t="s">
        <v>135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" x14ac:dyDescent="0.25">
      <c r="A61" s="35" t="s">
        <v>335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" x14ac:dyDescent="0.25">
      <c r="A62" s="34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" x14ac:dyDescent="0.25">
      <c r="A63" s="34" t="s">
        <v>336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" x14ac:dyDescent="0.25">
      <c r="A64" s="35" t="s">
        <v>22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" x14ac:dyDescent="0.25">
      <c r="A65" s="36" t="s">
        <v>149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" x14ac:dyDescent="0.25">
      <c r="A66" s="36" t="s">
        <v>274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" x14ac:dyDescent="0.25">
      <c r="A67" s="36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" x14ac:dyDescent="0.25">
      <c r="A68" s="34" t="s">
        <v>337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" x14ac:dyDescent="0.25">
      <c r="A69" s="35" t="s">
        <v>22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" x14ac:dyDescent="0.25">
      <c r="A70" s="35" t="s">
        <v>338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" x14ac:dyDescent="0.25">
      <c r="A71" s="35" t="s">
        <v>145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" x14ac:dyDescent="0.25">
      <c r="A72" s="34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" x14ac:dyDescent="0.25">
      <c r="A73" s="35" t="s">
        <v>129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" x14ac:dyDescent="0.25">
      <c r="A74" s="35" t="s">
        <v>22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" x14ac:dyDescent="0.25">
      <c r="A75" s="36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" x14ac:dyDescent="0.25">
      <c r="A76" s="34" t="s">
        <v>339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" x14ac:dyDescent="0.25">
      <c r="A77" s="35" t="s">
        <v>162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" x14ac:dyDescent="0.25">
      <c r="A78" s="35" t="s">
        <v>340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" x14ac:dyDescent="0.25">
      <c r="A79" s="34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" x14ac:dyDescent="0.25">
      <c r="A80" s="176" t="s">
        <v>341</v>
      </c>
      <c r="B80" s="177"/>
      <c r="C80" s="177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" x14ac:dyDescent="0.25">
      <c r="A81" s="34" t="s">
        <v>84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" x14ac:dyDescent="0.25">
      <c r="A82" s="35" t="s">
        <v>90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" x14ac:dyDescent="0.25">
      <c r="A83" s="35" t="s">
        <v>103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" x14ac:dyDescent="0.25">
      <c r="A84" s="34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" x14ac:dyDescent="0.25">
      <c r="A85" s="186" t="s">
        <v>348</v>
      </c>
      <c r="B85" s="177"/>
      <c r="C85" s="177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" x14ac:dyDescent="0.25">
      <c r="A86" s="34" t="s">
        <v>342</v>
      </c>
      <c r="B86" s="2" t="s">
        <v>343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" x14ac:dyDescent="0.25">
      <c r="A87" s="35" t="s">
        <v>38</v>
      </c>
      <c r="B87" s="5">
        <v>1</v>
      </c>
      <c r="C87" s="38" t="str">
        <f t="shared" ref="C87:C90" si="1">A87</f>
        <v>Négligeable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" x14ac:dyDescent="0.25">
      <c r="A88" s="35" t="s">
        <v>36</v>
      </c>
      <c r="B88" s="5">
        <v>2</v>
      </c>
      <c r="C88" s="38" t="str">
        <f t="shared" si="1"/>
        <v>Modéré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" x14ac:dyDescent="0.25">
      <c r="A89" s="35" t="s">
        <v>37</v>
      </c>
      <c r="B89" s="5">
        <v>3</v>
      </c>
      <c r="C89" s="38" t="str">
        <f t="shared" si="1"/>
        <v>Important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" x14ac:dyDescent="0.25">
      <c r="A90" s="35" t="s">
        <v>39</v>
      </c>
      <c r="B90" s="5">
        <v>4</v>
      </c>
      <c r="C90" s="38" t="str">
        <f t="shared" si="1"/>
        <v>Grave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" x14ac:dyDescent="0.25">
      <c r="A91" s="36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" x14ac:dyDescent="0.25">
      <c r="A92" s="41" t="s">
        <v>349</v>
      </c>
      <c r="B92" s="2" t="s">
        <v>346</v>
      </c>
      <c r="C92" s="3"/>
      <c r="D92" s="4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" x14ac:dyDescent="0.25">
      <c r="A93" s="36">
        <v>1</v>
      </c>
      <c r="B93" s="59" t="s">
        <v>90</v>
      </c>
      <c r="C93" s="6"/>
      <c r="D93" s="4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" x14ac:dyDescent="0.25">
      <c r="A94" s="36">
        <v>2</v>
      </c>
      <c r="B94" s="59" t="s">
        <v>90</v>
      </c>
      <c r="C94" s="62"/>
      <c r="D94" s="4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" x14ac:dyDescent="0.25">
      <c r="A95" s="36">
        <v>3</v>
      </c>
      <c r="B95" s="56" t="s">
        <v>36</v>
      </c>
      <c r="C95" s="62"/>
      <c r="D95" s="4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" x14ac:dyDescent="0.25">
      <c r="A96" s="36">
        <v>4</v>
      </c>
      <c r="B96" s="56" t="s">
        <v>36</v>
      </c>
      <c r="C96" s="62"/>
      <c r="D96" s="4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" x14ac:dyDescent="0.25">
      <c r="A97" s="36">
        <v>6</v>
      </c>
      <c r="B97" s="53" t="s">
        <v>344</v>
      </c>
      <c r="C97" s="62"/>
      <c r="D97" s="4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" x14ac:dyDescent="0.25">
      <c r="A98" s="36">
        <v>8</v>
      </c>
      <c r="B98" s="53" t="s">
        <v>344</v>
      </c>
      <c r="C98" s="94"/>
      <c r="D98" s="4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" x14ac:dyDescent="0.25">
      <c r="A99" s="36">
        <v>9</v>
      </c>
      <c r="B99" s="53" t="s">
        <v>344</v>
      </c>
      <c r="C99" s="94"/>
      <c r="D99" s="4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" x14ac:dyDescent="0.25">
      <c r="A100" s="36">
        <v>12</v>
      </c>
      <c r="B100" s="50" t="s">
        <v>345</v>
      </c>
      <c r="C100" s="6"/>
      <c r="D100" s="4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" x14ac:dyDescent="0.25">
      <c r="A101" s="36">
        <v>16</v>
      </c>
      <c r="B101" s="50" t="s">
        <v>345</v>
      </c>
      <c r="C101" s="6"/>
      <c r="D101" s="4"/>
      <c r="E101" s="4"/>
      <c r="F101" s="4"/>
      <c r="G101" s="4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" x14ac:dyDescent="0.25">
      <c r="A102" s="36"/>
      <c r="B102" s="6"/>
      <c r="C102" s="6"/>
      <c r="D102" s="4"/>
      <c r="E102" s="4"/>
      <c r="F102" s="4"/>
      <c r="G102" s="4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" x14ac:dyDescent="0.25">
      <c r="F103" s="4"/>
      <c r="G103" s="4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" x14ac:dyDescent="0.25"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" x14ac:dyDescent="0.25"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" x14ac:dyDescent="0.25"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" x14ac:dyDescent="0.25"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" x14ac:dyDescent="0.25">
      <c r="A108" s="36"/>
      <c r="B108" s="6"/>
      <c r="C108" s="6"/>
      <c r="D108" s="4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" x14ac:dyDescent="0.25">
      <c r="A109" s="36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" x14ac:dyDescent="0.25">
      <c r="A110" s="36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" x14ac:dyDescent="0.25">
      <c r="A111" s="36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" x14ac:dyDescent="0.25">
      <c r="A112" s="36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" x14ac:dyDescent="0.25">
      <c r="A113" s="36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" x14ac:dyDescent="0.25">
      <c r="A114" s="36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" x14ac:dyDescent="0.25">
      <c r="A115" s="36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" x14ac:dyDescent="0.25">
      <c r="A116" s="36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" x14ac:dyDescent="0.25">
      <c r="A117" s="36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" x14ac:dyDescent="0.25">
      <c r="A118" s="36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" x14ac:dyDescent="0.25">
      <c r="A119" s="36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" x14ac:dyDescent="0.25">
      <c r="A120" s="36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" x14ac:dyDescent="0.25">
      <c r="A121" s="36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" x14ac:dyDescent="0.25">
      <c r="A122" s="36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" x14ac:dyDescent="0.25">
      <c r="A123" s="36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" x14ac:dyDescent="0.25">
      <c r="A124" s="36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" x14ac:dyDescent="0.25">
      <c r="A125" s="36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" x14ac:dyDescent="0.25">
      <c r="A126" s="36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" x14ac:dyDescent="0.25">
      <c r="A127" s="36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" x14ac:dyDescent="0.25">
      <c r="A128" s="36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" x14ac:dyDescent="0.25">
      <c r="A129" s="36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" x14ac:dyDescent="0.25">
      <c r="A130" s="36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" x14ac:dyDescent="0.25">
      <c r="A131" s="36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" x14ac:dyDescent="0.25">
      <c r="A132" s="36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" x14ac:dyDescent="0.25">
      <c r="A133" s="36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" x14ac:dyDescent="0.25">
      <c r="A134" s="36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" x14ac:dyDescent="0.25">
      <c r="A135" s="36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" x14ac:dyDescent="0.25">
      <c r="A136" s="36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" x14ac:dyDescent="0.25">
      <c r="A137" s="36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" x14ac:dyDescent="0.25">
      <c r="A138" s="36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" x14ac:dyDescent="0.25">
      <c r="A139" s="36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" x14ac:dyDescent="0.25">
      <c r="A140" s="36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" x14ac:dyDescent="0.25">
      <c r="A141" s="36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" x14ac:dyDescent="0.25">
      <c r="A142" s="36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" x14ac:dyDescent="0.25">
      <c r="A143" s="36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" x14ac:dyDescent="0.25">
      <c r="A144" s="36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" x14ac:dyDescent="0.25">
      <c r="A145" s="36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" x14ac:dyDescent="0.25">
      <c r="A146" s="36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" x14ac:dyDescent="0.25">
      <c r="A147" s="36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" x14ac:dyDescent="0.25">
      <c r="A148" s="36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" x14ac:dyDescent="0.25">
      <c r="A149" s="36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" x14ac:dyDescent="0.25">
      <c r="A150" s="36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" x14ac:dyDescent="0.25">
      <c r="A151" s="36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" x14ac:dyDescent="0.25">
      <c r="A152" s="36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" x14ac:dyDescent="0.25">
      <c r="A153" s="36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" x14ac:dyDescent="0.25">
      <c r="A154" s="36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" x14ac:dyDescent="0.25">
      <c r="A155" s="36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" x14ac:dyDescent="0.25">
      <c r="A156" s="36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" x14ac:dyDescent="0.25">
      <c r="A157" s="36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" x14ac:dyDescent="0.25">
      <c r="A158" s="36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" x14ac:dyDescent="0.25">
      <c r="A159" s="36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" x14ac:dyDescent="0.25">
      <c r="A160" s="36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" x14ac:dyDescent="0.25">
      <c r="A161" s="36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" x14ac:dyDescent="0.25">
      <c r="A162" s="36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" x14ac:dyDescent="0.25">
      <c r="A163" s="36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" x14ac:dyDescent="0.25">
      <c r="A164" s="36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" x14ac:dyDescent="0.25">
      <c r="A165" s="36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" x14ac:dyDescent="0.25">
      <c r="A166" s="36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" x14ac:dyDescent="0.25">
      <c r="A167" s="36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" x14ac:dyDescent="0.25">
      <c r="A168" s="36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" x14ac:dyDescent="0.25">
      <c r="A169" s="36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" x14ac:dyDescent="0.25">
      <c r="A170" s="36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" x14ac:dyDescent="0.25">
      <c r="A171" s="36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" x14ac:dyDescent="0.25">
      <c r="A172" s="36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" x14ac:dyDescent="0.25">
      <c r="A173" s="36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" x14ac:dyDescent="0.25">
      <c r="A174" s="36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" x14ac:dyDescent="0.25">
      <c r="A175" s="36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" x14ac:dyDescent="0.25">
      <c r="A176" s="36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" x14ac:dyDescent="0.25">
      <c r="A177" s="36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" x14ac:dyDescent="0.25">
      <c r="A178" s="36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" x14ac:dyDescent="0.25">
      <c r="A179" s="36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" x14ac:dyDescent="0.25">
      <c r="A180" s="36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" x14ac:dyDescent="0.25">
      <c r="A181" s="36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" x14ac:dyDescent="0.25">
      <c r="A182" s="36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" x14ac:dyDescent="0.25">
      <c r="A183" s="36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" x14ac:dyDescent="0.25">
      <c r="A184" s="36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" x14ac:dyDescent="0.25">
      <c r="A185" s="36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" x14ac:dyDescent="0.25">
      <c r="A186" s="36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" x14ac:dyDescent="0.25">
      <c r="A187" s="36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" x14ac:dyDescent="0.25">
      <c r="A188" s="36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" x14ac:dyDescent="0.25">
      <c r="A189" s="36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" x14ac:dyDescent="0.25">
      <c r="A190" s="36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" x14ac:dyDescent="0.25">
      <c r="A191" s="36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" x14ac:dyDescent="0.25">
      <c r="A192" s="36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" x14ac:dyDescent="0.25">
      <c r="A193" s="36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" x14ac:dyDescent="0.25">
      <c r="A194" s="36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" x14ac:dyDescent="0.25">
      <c r="A195" s="36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" x14ac:dyDescent="0.25">
      <c r="A196" s="36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" x14ac:dyDescent="0.25">
      <c r="A197" s="36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" x14ac:dyDescent="0.25">
      <c r="A198" s="36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" x14ac:dyDescent="0.25">
      <c r="A199" s="36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" x14ac:dyDescent="0.25">
      <c r="A200" s="36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" x14ac:dyDescent="0.25">
      <c r="A201" s="36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" x14ac:dyDescent="0.25">
      <c r="A202" s="36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" x14ac:dyDescent="0.25">
      <c r="A203" s="36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" x14ac:dyDescent="0.25">
      <c r="A204" s="36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" x14ac:dyDescent="0.25">
      <c r="A205" s="36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" x14ac:dyDescent="0.25">
      <c r="A206" s="36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" x14ac:dyDescent="0.25">
      <c r="A207" s="36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" x14ac:dyDescent="0.25">
      <c r="A208" s="36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" x14ac:dyDescent="0.25">
      <c r="A209" s="36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" x14ac:dyDescent="0.25">
      <c r="A210" s="36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" x14ac:dyDescent="0.25">
      <c r="A211" s="36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" x14ac:dyDescent="0.25">
      <c r="A212" s="36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" x14ac:dyDescent="0.25">
      <c r="A213" s="36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" x14ac:dyDescent="0.25">
      <c r="A214" s="36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" x14ac:dyDescent="0.25">
      <c r="A215" s="36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" x14ac:dyDescent="0.25">
      <c r="A216" s="36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" x14ac:dyDescent="0.25">
      <c r="A217" s="36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" x14ac:dyDescent="0.25">
      <c r="A218" s="36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" x14ac:dyDescent="0.25">
      <c r="A219" s="36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" x14ac:dyDescent="0.25">
      <c r="A220" s="36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" x14ac:dyDescent="0.25">
      <c r="A221" s="36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" x14ac:dyDescent="0.25">
      <c r="A222" s="36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" x14ac:dyDescent="0.25">
      <c r="A223" s="36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" x14ac:dyDescent="0.25">
      <c r="A224" s="36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" x14ac:dyDescent="0.25">
      <c r="A225" s="36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" x14ac:dyDescent="0.25">
      <c r="A226" s="36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" x14ac:dyDescent="0.25">
      <c r="A227" s="36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" x14ac:dyDescent="0.25">
      <c r="A228" s="36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" x14ac:dyDescent="0.25">
      <c r="A229" s="36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" x14ac:dyDescent="0.25">
      <c r="A230" s="36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" x14ac:dyDescent="0.25">
      <c r="A231" s="36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" x14ac:dyDescent="0.25">
      <c r="A232" s="36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" x14ac:dyDescent="0.25">
      <c r="A233" s="36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" x14ac:dyDescent="0.25">
      <c r="A234" s="36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" x14ac:dyDescent="0.25">
      <c r="A235" s="36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" x14ac:dyDescent="0.25">
      <c r="A236" s="36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" x14ac:dyDescent="0.25">
      <c r="A237" s="36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" x14ac:dyDescent="0.25">
      <c r="A238" s="36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" x14ac:dyDescent="0.25">
      <c r="A239" s="36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" x14ac:dyDescent="0.25">
      <c r="A240" s="36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" x14ac:dyDescent="0.25">
      <c r="A241" s="36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" x14ac:dyDescent="0.25">
      <c r="A242" s="36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" x14ac:dyDescent="0.25">
      <c r="A243" s="36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" x14ac:dyDescent="0.25">
      <c r="A244" s="36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" x14ac:dyDescent="0.25">
      <c r="A245" s="36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" x14ac:dyDescent="0.25">
      <c r="A246" s="36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" x14ac:dyDescent="0.25">
      <c r="A247" s="36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" x14ac:dyDescent="0.25">
      <c r="A248" s="36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" x14ac:dyDescent="0.25">
      <c r="A249" s="36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" x14ac:dyDescent="0.25">
      <c r="A250" s="36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" x14ac:dyDescent="0.25">
      <c r="A251" s="36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" x14ac:dyDescent="0.25">
      <c r="A252" s="36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" x14ac:dyDescent="0.25">
      <c r="A253" s="36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" x14ac:dyDescent="0.25">
      <c r="A254" s="36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" x14ac:dyDescent="0.25">
      <c r="A255" s="36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" x14ac:dyDescent="0.25">
      <c r="A256" s="36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" x14ac:dyDescent="0.25">
      <c r="A257" s="36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" x14ac:dyDescent="0.25">
      <c r="A258" s="36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" x14ac:dyDescent="0.25">
      <c r="A259" s="36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" x14ac:dyDescent="0.25">
      <c r="A260" s="36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" x14ac:dyDescent="0.25">
      <c r="A261" s="36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" x14ac:dyDescent="0.25">
      <c r="A262" s="36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" x14ac:dyDescent="0.25">
      <c r="A263" s="36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" x14ac:dyDescent="0.25">
      <c r="A264" s="36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" x14ac:dyDescent="0.25">
      <c r="A265" s="36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" x14ac:dyDescent="0.25">
      <c r="A266" s="36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" x14ac:dyDescent="0.25">
      <c r="A267" s="36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" x14ac:dyDescent="0.25">
      <c r="A268" s="36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" x14ac:dyDescent="0.25">
      <c r="A269" s="36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" x14ac:dyDescent="0.25">
      <c r="A270" s="36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" x14ac:dyDescent="0.25">
      <c r="A271" s="36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" x14ac:dyDescent="0.25">
      <c r="A272" s="36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" x14ac:dyDescent="0.25">
      <c r="A273" s="36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" x14ac:dyDescent="0.25">
      <c r="A274" s="36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" x14ac:dyDescent="0.25">
      <c r="A275" s="36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" x14ac:dyDescent="0.25">
      <c r="A276" s="36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" x14ac:dyDescent="0.25">
      <c r="A277" s="36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" x14ac:dyDescent="0.25">
      <c r="A278" s="36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" x14ac:dyDescent="0.25">
      <c r="A279" s="36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" x14ac:dyDescent="0.25">
      <c r="A280" s="36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" x14ac:dyDescent="0.25">
      <c r="A281" s="36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" x14ac:dyDescent="0.25">
      <c r="A282" s="36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" x14ac:dyDescent="0.25">
      <c r="A283" s="36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" x14ac:dyDescent="0.25">
      <c r="A284" s="36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" x14ac:dyDescent="0.25">
      <c r="A285" s="36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" x14ac:dyDescent="0.25">
      <c r="A286" s="36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" x14ac:dyDescent="0.25">
      <c r="A287" s="36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" x14ac:dyDescent="0.25">
      <c r="A288" s="36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" x14ac:dyDescent="0.25">
      <c r="A289" s="36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" x14ac:dyDescent="0.25">
      <c r="A290" s="36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" x14ac:dyDescent="0.25">
      <c r="A291" s="36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" x14ac:dyDescent="0.25">
      <c r="A292" s="36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" x14ac:dyDescent="0.25">
      <c r="A293" s="36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" x14ac:dyDescent="0.25">
      <c r="A294" s="36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" x14ac:dyDescent="0.25">
      <c r="A295" s="36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" x14ac:dyDescent="0.25">
      <c r="A296" s="36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" x14ac:dyDescent="0.25">
      <c r="A297" s="36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" x14ac:dyDescent="0.25">
      <c r="A298" s="36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" x14ac:dyDescent="0.25">
      <c r="A299" s="36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" x14ac:dyDescent="0.25">
      <c r="A300" s="36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" x14ac:dyDescent="0.25">
      <c r="A301" s="36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" x14ac:dyDescent="0.25">
      <c r="A302" s="36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" x14ac:dyDescent="0.25">
      <c r="A303" s="36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" x14ac:dyDescent="0.25">
      <c r="A304" s="36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" x14ac:dyDescent="0.25">
      <c r="A305" s="36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" x14ac:dyDescent="0.25">
      <c r="A306" s="36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" x14ac:dyDescent="0.25">
      <c r="A307" s="36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" x14ac:dyDescent="0.25">
      <c r="A308" s="36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" x14ac:dyDescent="0.25">
      <c r="A309" s="36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" x14ac:dyDescent="0.25">
      <c r="A310" s="36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" x14ac:dyDescent="0.25">
      <c r="A311" s="36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" x14ac:dyDescent="0.25">
      <c r="A312" s="36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" x14ac:dyDescent="0.25">
      <c r="A313" s="36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" x14ac:dyDescent="0.25">
      <c r="A314" s="36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" x14ac:dyDescent="0.25">
      <c r="A315" s="36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" x14ac:dyDescent="0.25">
      <c r="A316" s="36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" x14ac:dyDescent="0.25">
      <c r="A317" s="36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" x14ac:dyDescent="0.25">
      <c r="A318" s="36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" x14ac:dyDescent="0.25">
      <c r="A319" s="36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" x14ac:dyDescent="0.25">
      <c r="A320" s="36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" x14ac:dyDescent="0.25">
      <c r="A321" s="36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" x14ac:dyDescent="0.25">
      <c r="A322" s="36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" x14ac:dyDescent="0.25">
      <c r="A323" s="36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" x14ac:dyDescent="0.25">
      <c r="A324" s="36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" x14ac:dyDescent="0.25">
      <c r="A325" s="36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" x14ac:dyDescent="0.25">
      <c r="A326" s="36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" x14ac:dyDescent="0.25">
      <c r="A327" s="36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" x14ac:dyDescent="0.25">
      <c r="A328" s="36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" x14ac:dyDescent="0.25">
      <c r="A329" s="36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" x14ac:dyDescent="0.25">
      <c r="A330" s="36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" x14ac:dyDescent="0.25">
      <c r="A331" s="36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" x14ac:dyDescent="0.25">
      <c r="A332" s="36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" x14ac:dyDescent="0.25">
      <c r="A333" s="36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" x14ac:dyDescent="0.25">
      <c r="A334" s="36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" x14ac:dyDescent="0.25">
      <c r="A335" s="36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" x14ac:dyDescent="0.25">
      <c r="A336" s="36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" x14ac:dyDescent="0.25">
      <c r="A337" s="36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" x14ac:dyDescent="0.25">
      <c r="A338" s="36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" x14ac:dyDescent="0.25">
      <c r="A339" s="36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" x14ac:dyDescent="0.25">
      <c r="A340" s="36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" x14ac:dyDescent="0.25">
      <c r="A341" s="36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" x14ac:dyDescent="0.25">
      <c r="A342" s="36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" x14ac:dyDescent="0.25">
      <c r="A343" s="36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" x14ac:dyDescent="0.25">
      <c r="A344" s="36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" x14ac:dyDescent="0.25">
      <c r="A345" s="36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" x14ac:dyDescent="0.25">
      <c r="A346" s="36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" x14ac:dyDescent="0.25">
      <c r="A347" s="36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" x14ac:dyDescent="0.25">
      <c r="A348" s="36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" x14ac:dyDescent="0.25">
      <c r="A349" s="36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" x14ac:dyDescent="0.25">
      <c r="A350" s="36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" x14ac:dyDescent="0.25">
      <c r="A351" s="36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" x14ac:dyDescent="0.25">
      <c r="A352" s="36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" x14ac:dyDescent="0.25">
      <c r="A353" s="36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" x14ac:dyDescent="0.25">
      <c r="A354" s="36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" x14ac:dyDescent="0.25">
      <c r="A355" s="36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" x14ac:dyDescent="0.25">
      <c r="A356" s="36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" x14ac:dyDescent="0.25">
      <c r="A357" s="36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" x14ac:dyDescent="0.25">
      <c r="A358" s="36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" x14ac:dyDescent="0.25">
      <c r="A359" s="36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" x14ac:dyDescent="0.25">
      <c r="A360" s="36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" x14ac:dyDescent="0.25">
      <c r="A361" s="36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" x14ac:dyDescent="0.25">
      <c r="A362" s="36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" x14ac:dyDescent="0.25">
      <c r="A363" s="36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" x14ac:dyDescent="0.25">
      <c r="A364" s="36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" x14ac:dyDescent="0.25">
      <c r="A365" s="36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" x14ac:dyDescent="0.25">
      <c r="A366" s="36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" x14ac:dyDescent="0.25">
      <c r="A367" s="36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" x14ac:dyDescent="0.25">
      <c r="A368" s="36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" x14ac:dyDescent="0.25">
      <c r="A369" s="36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" x14ac:dyDescent="0.25">
      <c r="A370" s="36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" x14ac:dyDescent="0.25">
      <c r="A371" s="36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" x14ac:dyDescent="0.25">
      <c r="A372" s="36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" x14ac:dyDescent="0.25">
      <c r="A373" s="36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" x14ac:dyDescent="0.25">
      <c r="A374" s="36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" x14ac:dyDescent="0.25">
      <c r="A375" s="36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" x14ac:dyDescent="0.25">
      <c r="A376" s="36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" x14ac:dyDescent="0.25">
      <c r="A377" s="36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" x14ac:dyDescent="0.25">
      <c r="A378" s="36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" x14ac:dyDescent="0.25">
      <c r="A379" s="36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" x14ac:dyDescent="0.25">
      <c r="A380" s="36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" x14ac:dyDescent="0.25">
      <c r="A381" s="36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" x14ac:dyDescent="0.25">
      <c r="A382" s="36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" x14ac:dyDescent="0.25">
      <c r="A383" s="36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" x14ac:dyDescent="0.25">
      <c r="A384" s="36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" x14ac:dyDescent="0.25">
      <c r="A385" s="36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" x14ac:dyDescent="0.25">
      <c r="A386" s="36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" x14ac:dyDescent="0.25">
      <c r="A387" s="36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" x14ac:dyDescent="0.25">
      <c r="A388" s="36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" x14ac:dyDescent="0.25">
      <c r="A389" s="36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" x14ac:dyDescent="0.25">
      <c r="A390" s="36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" x14ac:dyDescent="0.25">
      <c r="A391" s="36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" x14ac:dyDescent="0.25">
      <c r="A392" s="36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" x14ac:dyDescent="0.25">
      <c r="A393" s="36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" x14ac:dyDescent="0.25">
      <c r="A394" s="36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" x14ac:dyDescent="0.25">
      <c r="A395" s="36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" x14ac:dyDescent="0.25">
      <c r="A396" s="36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" x14ac:dyDescent="0.25">
      <c r="A397" s="36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" x14ac:dyDescent="0.25">
      <c r="A398" s="36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" x14ac:dyDescent="0.25">
      <c r="A399" s="36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" x14ac:dyDescent="0.25">
      <c r="A400" s="36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" x14ac:dyDescent="0.25">
      <c r="A401" s="36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" x14ac:dyDescent="0.25">
      <c r="A402" s="36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" x14ac:dyDescent="0.25">
      <c r="A403" s="36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" x14ac:dyDescent="0.25">
      <c r="A404" s="36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" x14ac:dyDescent="0.25">
      <c r="A405" s="36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" x14ac:dyDescent="0.25">
      <c r="A406" s="36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" x14ac:dyDescent="0.25">
      <c r="A407" s="36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" x14ac:dyDescent="0.25">
      <c r="A408" s="36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" x14ac:dyDescent="0.25">
      <c r="A409" s="36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" x14ac:dyDescent="0.25">
      <c r="A410" s="36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" x14ac:dyDescent="0.25">
      <c r="A411" s="36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" x14ac:dyDescent="0.25">
      <c r="A412" s="36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" x14ac:dyDescent="0.25">
      <c r="A413" s="36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" x14ac:dyDescent="0.25">
      <c r="A414" s="36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" x14ac:dyDescent="0.25">
      <c r="A415" s="36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" x14ac:dyDescent="0.25">
      <c r="A416" s="36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" x14ac:dyDescent="0.25">
      <c r="A417" s="36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" x14ac:dyDescent="0.25">
      <c r="A418" s="36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" x14ac:dyDescent="0.25">
      <c r="A419" s="36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" x14ac:dyDescent="0.25">
      <c r="A420" s="36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" x14ac:dyDescent="0.25">
      <c r="A421" s="36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" x14ac:dyDescent="0.25">
      <c r="A422" s="36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" x14ac:dyDescent="0.25">
      <c r="A423" s="36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" x14ac:dyDescent="0.25">
      <c r="A424" s="36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" x14ac:dyDescent="0.25">
      <c r="A425" s="36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" x14ac:dyDescent="0.25">
      <c r="A426" s="36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" x14ac:dyDescent="0.25">
      <c r="A427" s="36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" x14ac:dyDescent="0.25">
      <c r="A428" s="36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" x14ac:dyDescent="0.25">
      <c r="A429" s="36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" x14ac:dyDescent="0.25">
      <c r="A430" s="36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" x14ac:dyDescent="0.25">
      <c r="A431" s="36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" x14ac:dyDescent="0.25">
      <c r="A432" s="36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" x14ac:dyDescent="0.25">
      <c r="A433" s="36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" x14ac:dyDescent="0.25">
      <c r="A434" s="36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" x14ac:dyDescent="0.25">
      <c r="A435" s="36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" x14ac:dyDescent="0.25">
      <c r="A436" s="36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" x14ac:dyDescent="0.25">
      <c r="A437" s="36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" x14ac:dyDescent="0.25">
      <c r="A438" s="36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" x14ac:dyDescent="0.25">
      <c r="A439" s="36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" x14ac:dyDescent="0.25">
      <c r="A440" s="36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" x14ac:dyDescent="0.25">
      <c r="A441" s="36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" x14ac:dyDescent="0.25">
      <c r="A442" s="36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" x14ac:dyDescent="0.25">
      <c r="A443" s="36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" x14ac:dyDescent="0.25">
      <c r="A444" s="36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" x14ac:dyDescent="0.25">
      <c r="A445" s="36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" x14ac:dyDescent="0.25">
      <c r="A446" s="36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" x14ac:dyDescent="0.25">
      <c r="A447" s="36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" x14ac:dyDescent="0.25">
      <c r="A448" s="36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" x14ac:dyDescent="0.25">
      <c r="A449" s="36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" x14ac:dyDescent="0.25">
      <c r="A450" s="36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" x14ac:dyDescent="0.25">
      <c r="A451" s="36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" x14ac:dyDescent="0.25">
      <c r="A452" s="36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" x14ac:dyDescent="0.25">
      <c r="A453" s="36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" x14ac:dyDescent="0.25">
      <c r="A454" s="36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" x14ac:dyDescent="0.25">
      <c r="A455" s="36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" x14ac:dyDescent="0.25">
      <c r="A456" s="36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" x14ac:dyDescent="0.25">
      <c r="A457" s="36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" x14ac:dyDescent="0.25">
      <c r="A458" s="36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" x14ac:dyDescent="0.25">
      <c r="A459" s="36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" x14ac:dyDescent="0.25">
      <c r="A460" s="36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" x14ac:dyDescent="0.25">
      <c r="A461" s="36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" x14ac:dyDescent="0.25">
      <c r="A462" s="36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" x14ac:dyDescent="0.25">
      <c r="A463" s="36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" x14ac:dyDescent="0.25">
      <c r="A464" s="36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" x14ac:dyDescent="0.25">
      <c r="A465" s="36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" x14ac:dyDescent="0.25">
      <c r="A466" s="36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" x14ac:dyDescent="0.25">
      <c r="A467" s="36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" x14ac:dyDescent="0.25">
      <c r="A468" s="36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" x14ac:dyDescent="0.25">
      <c r="A469" s="36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" x14ac:dyDescent="0.25">
      <c r="A470" s="36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" x14ac:dyDescent="0.25">
      <c r="A471" s="36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" x14ac:dyDescent="0.25">
      <c r="A472" s="36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" x14ac:dyDescent="0.25">
      <c r="A473" s="36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" x14ac:dyDescent="0.25">
      <c r="A474" s="36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" x14ac:dyDescent="0.25">
      <c r="A475" s="36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" x14ac:dyDescent="0.25">
      <c r="A476" s="36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" x14ac:dyDescent="0.25">
      <c r="A477" s="36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" x14ac:dyDescent="0.25">
      <c r="A478" s="36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" x14ac:dyDescent="0.25">
      <c r="A479" s="36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" x14ac:dyDescent="0.25">
      <c r="A480" s="36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" x14ac:dyDescent="0.25">
      <c r="A481" s="36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" x14ac:dyDescent="0.25">
      <c r="A482" s="36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" x14ac:dyDescent="0.25">
      <c r="A483" s="36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" x14ac:dyDescent="0.25">
      <c r="A484" s="36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" x14ac:dyDescent="0.25">
      <c r="A485" s="36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" x14ac:dyDescent="0.25">
      <c r="A486" s="36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" x14ac:dyDescent="0.25">
      <c r="A487" s="36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" x14ac:dyDescent="0.25">
      <c r="A488" s="36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" x14ac:dyDescent="0.25">
      <c r="A489" s="36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" x14ac:dyDescent="0.25">
      <c r="A490" s="36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" x14ac:dyDescent="0.25">
      <c r="A491" s="36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" x14ac:dyDescent="0.25">
      <c r="A492" s="36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" x14ac:dyDescent="0.25">
      <c r="A493" s="36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" x14ac:dyDescent="0.25">
      <c r="A494" s="36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" x14ac:dyDescent="0.25">
      <c r="A495" s="36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" x14ac:dyDescent="0.25">
      <c r="A496" s="36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" x14ac:dyDescent="0.25">
      <c r="A497" s="36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" x14ac:dyDescent="0.25">
      <c r="A498" s="36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" x14ac:dyDescent="0.25">
      <c r="A499" s="36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" x14ac:dyDescent="0.25">
      <c r="A500" s="36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" x14ac:dyDescent="0.25">
      <c r="A501" s="36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" x14ac:dyDescent="0.25">
      <c r="A502" s="36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" x14ac:dyDescent="0.25">
      <c r="A503" s="36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" x14ac:dyDescent="0.25">
      <c r="A504" s="36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" x14ac:dyDescent="0.25">
      <c r="A505" s="36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" x14ac:dyDescent="0.25">
      <c r="A506" s="36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" x14ac:dyDescent="0.25">
      <c r="A507" s="36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" x14ac:dyDescent="0.25">
      <c r="A508" s="36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" x14ac:dyDescent="0.25">
      <c r="A509" s="36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" x14ac:dyDescent="0.25">
      <c r="A510" s="36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" x14ac:dyDescent="0.25">
      <c r="A511" s="36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" x14ac:dyDescent="0.25">
      <c r="A512" s="36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" x14ac:dyDescent="0.25">
      <c r="A513" s="36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" x14ac:dyDescent="0.25">
      <c r="A514" s="36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" x14ac:dyDescent="0.25">
      <c r="A515" s="36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" x14ac:dyDescent="0.25">
      <c r="A516" s="36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" x14ac:dyDescent="0.25">
      <c r="A517" s="36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" x14ac:dyDescent="0.25">
      <c r="A518" s="36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" x14ac:dyDescent="0.25">
      <c r="A519" s="36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" x14ac:dyDescent="0.25">
      <c r="A520" s="36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" x14ac:dyDescent="0.25">
      <c r="A521" s="36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" x14ac:dyDescent="0.25">
      <c r="A522" s="36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" x14ac:dyDescent="0.25">
      <c r="A523" s="36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" x14ac:dyDescent="0.25">
      <c r="A524" s="36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" x14ac:dyDescent="0.25">
      <c r="A525" s="36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" x14ac:dyDescent="0.25">
      <c r="A526" s="36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" x14ac:dyDescent="0.25">
      <c r="A527" s="36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" x14ac:dyDescent="0.25">
      <c r="A528" s="36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" x14ac:dyDescent="0.25">
      <c r="A529" s="36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" x14ac:dyDescent="0.25">
      <c r="A530" s="36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" x14ac:dyDescent="0.25">
      <c r="A531" s="36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" x14ac:dyDescent="0.25">
      <c r="A532" s="36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" x14ac:dyDescent="0.25">
      <c r="A533" s="36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" x14ac:dyDescent="0.25">
      <c r="A534" s="36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" x14ac:dyDescent="0.25">
      <c r="A535" s="36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" x14ac:dyDescent="0.25">
      <c r="A536" s="36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" x14ac:dyDescent="0.25">
      <c r="A537" s="36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" x14ac:dyDescent="0.25">
      <c r="A538" s="36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" x14ac:dyDescent="0.25">
      <c r="A539" s="36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" x14ac:dyDescent="0.25">
      <c r="A540" s="36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" x14ac:dyDescent="0.25">
      <c r="A541" s="36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" x14ac:dyDescent="0.25">
      <c r="A542" s="36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" x14ac:dyDescent="0.25">
      <c r="A543" s="36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" x14ac:dyDescent="0.25">
      <c r="A544" s="36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" x14ac:dyDescent="0.25">
      <c r="A545" s="36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" x14ac:dyDescent="0.25">
      <c r="A546" s="36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" x14ac:dyDescent="0.25">
      <c r="A547" s="36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" x14ac:dyDescent="0.25">
      <c r="A548" s="36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" x14ac:dyDescent="0.25">
      <c r="A549" s="36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" x14ac:dyDescent="0.25">
      <c r="A550" s="36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" x14ac:dyDescent="0.25">
      <c r="A551" s="36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" x14ac:dyDescent="0.25">
      <c r="A552" s="36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" x14ac:dyDescent="0.25">
      <c r="A553" s="36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" x14ac:dyDescent="0.25">
      <c r="A554" s="36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" x14ac:dyDescent="0.25">
      <c r="A555" s="36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" x14ac:dyDescent="0.25">
      <c r="A556" s="36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" x14ac:dyDescent="0.25">
      <c r="A557" s="36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" x14ac:dyDescent="0.25">
      <c r="A558" s="36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" x14ac:dyDescent="0.25">
      <c r="A559" s="36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" x14ac:dyDescent="0.25">
      <c r="A560" s="36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" x14ac:dyDescent="0.25">
      <c r="A561" s="36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" x14ac:dyDescent="0.25">
      <c r="A562" s="36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" x14ac:dyDescent="0.25">
      <c r="A563" s="36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" x14ac:dyDescent="0.25">
      <c r="A564" s="36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" x14ac:dyDescent="0.25">
      <c r="A565" s="36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" x14ac:dyDescent="0.25">
      <c r="A566" s="36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" x14ac:dyDescent="0.25">
      <c r="A567" s="36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" x14ac:dyDescent="0.25">
      <c r="A568" s="36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" x14ac:dyDescent="0.25">
      <c r="A569" s="36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" x14ac:dyDescent="0.25">
      <c r="A570" s="36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" x14ac:dyDescent="0.25">
      <c r="A571" s="36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" x14ac:dyDescent="0.25">
      <c r="A572" s="36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" x14ac:dyDescent="0.25">
      <c r="A573" s="36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" x14ac:dyDescent="0.25">
      <c r="A574" s="36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" x14ac:dyDescent="0.25">
      <c r="A575" s="36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" x14ac:dyDescent="0.25">
      <c r="A576" s="36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" x14ac:dyDescent="0.25">
      <c r="A577" s="36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" x14ac:dyDescent="0.25">
      <c r="A578" s="36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" x14ac:dyDescent="0.25">
      <c r="A579" s="36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" x14ac:dyDescent="0.25">
      <c r="A580" s="36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" x14ac:dyDescent="0.25">
      <c r="A581" s="36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" x14ac:dyDescent="0.25">
      <c r="A582" s="36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" x14ac:dyDescent="0.25">
      <c r="A583" s="36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" x14ac:dyDescent="0.25">
      <c r="A584" s="36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" x14ac:dyDescent="0.25">
      <c r="A585" s="36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" x14ac:dyDescent="0.25">
      <c r="A586" s="36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" x14ac:dyDescent="0.25">
      <c r="A587" s="36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" x14ac:dyDescent="0.25">
      <c r="A588" s="36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" x14ac:dyDescent="0.25">
      <c r="A589" s="36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" x14ac:dyDescent="0.25">
      <c r="A590" s="36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" x14ac:dyDescent="0.25">
      <c r="A591" s="36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" x14ac:dyDescent="0.25">
      <c r="A592" s="36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" x14ac:dyDescent="0.25">
      <c r="A593" s="36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" x14ac:dyDescent="0.25">
      <c r="A594" s="36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" x14ac:dyDescent="0.25">
      <c r="A595" s="36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" x14ac:dyDescent="0.25">
      <c r="A596" s="36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" x14ac:dyDescent="0.25">
      <c r="A597" s="36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" x14ac:dyDescent="0.25">
      <c r="A598" s="36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" x14ac:dyDescent="0.25">
      <c r="A599" s="36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" x14ac:dyDescent="0.25">
      <c r="A600" s="36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" x14ac:dyDescent="0.25">
      <c r="A601" s="36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" x14ac:dyDescent="0.25">
      <c r="A602" s="36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" x14ac:dyDescent="0.25">
      <c r="A603" s="36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" x14ac:dyDescent="0.25">
      <c r="A604" s="36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" x14ac:dyDescent="0.25">
      <c r="A605" s="36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" x14ac:dyDescent="0.25">
      <c r="A606" s="36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" x14ac:dyDescent="0.25">
      <c r="A607" s="36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" x14ac:dyDescent="0.25">
      <c r="A608" s="36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" x14ac:dyDescent="0.25">
      <c r="A609" s="36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" x14ac:dyDescent="0.25">
      <c r="A610" s="36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" x14ac:dyDescent="0.25">
      <c r="A611" s="36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" x14ac:dyDescent="0.25">
      <c r="A612" s="36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" x14ac:dyDescent="0.25">
      <c r="A613" s="36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" x14ac:dyDescent="0.25">
      <c r="A614" s="36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" x14ac:dyDescent="0.25">
      <c r="A615" s="36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" x14ac:dyDescent="0.25">
      <c r="A616" s="36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" x14ac:dyDescent="0.25">
      <c r="A617" s="36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" x14ac:dyDescent="0.25">
      <c r="A618" s="36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" x14ac:dyDescent="0.25">
      <c r="A619" s="36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" x14ac:dyDescent="0.25">
      <c r="A620" s="36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" x14ac:dyDescent="0.25">
      <c r="A621" s="36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" x14ac:dyDescent="0.25">
      <c r="A622" s="36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" x14ac:dyDescent="0.25">
      <c r="A623" s="36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" x14ac:dyDescent="0.25">
      <c r="A624" s="36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" x14ac:dyDescent="0.25">
      <c r="A625" s="36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" x14ac:dyDescent="0.25">
      <c r="A626" s="36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" x14ac:dyDescent="0.25">
      <c r="A627" s="36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" x14ac:dyDescent="0.25">
      <c r="A628" s="36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" x14ac:dyDescent="0.25">
      <c r="A629" s="36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" x14ac:dyDescent="0.25">
      <c r="A630" s="36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" x14ac:dyDescent="0.25">
      <c r="A631" s="36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" x14ac:dyDescent="0.25">
      <c r="A632" s="36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" x14ac:dyDescent="0.25">
      <c r="A633" s="36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" x14ac:dyDescent="0.25">
      <c r="A634" s="36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" x14ac:dyDescent="0.25">
      <c r="A635" s="36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" x14ac:dyDescent="0.25">
      <c r="A636" s="36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" x14ac:dyDescent="0.25">
      <c r="A637" s="36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" x14ac:dyDescent="0.25">
      <c r="A638" s="36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" x14ac:dyDescent="0.25">
      <c r="A639" s="36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" x14ac:dyDescent="0.25">
      <c r="A640" s="36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" x14ac:dyDescent="0.25">
      <c r="A641" s="36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" x14ac:dyDescent="0.25">
      <c r="A642" s="36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" x14ac:dyDescent="0.25">
      <c r="A643" s="36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" x14ac:dyDescent="0.25">
      <c r="A644" s="36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" x14ac:dyDescent="0.25">
      <c r="A645" s="36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" x14ac:dyDescent="0.25">
      <c r="A646" s="36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" x14ac:dyDescent="0.25">
      <c r="A647" s="36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" x14ac:dyDescent="0.25">
      <c r="A648" s="36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" x14ac:dyDescent="0.25">
      <c r="A649" s="36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" x14ac:dyDescent="0.25">
      <c r="A650" s="36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" x14ac:dyDescent="0.25">
      <c r="A651" s="36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" x14ac:dyDescent="0.25">
      <c r="A652" s="36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" x14ac:dyDescent="0.25">
      <c r="A653" s="36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" x14ac:dyDescent="0.25">
      <c r="A654" s="36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" x14ac:dyDescent="0.25">
      <c r="A655" s="36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" x14ac:dyDescent="0.25">
      <c r="A656" s="36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" x14ac:dyDescent="0.25">
      <c r="A657" s="36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" x14ac:dyDescent="0.25">
      <c r="A658" s="36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" x14ac:dyDescent="0.25">
      <c r="A659" s="36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" x14ac:dyDescent="0.25">
      <c r="A660" s="36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" x14ac:dyDescent="0.25">
      <c r="A661" s="36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" x14ac:dyDescent="0.25">
      <c r="A662" s="36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" x14ac:dyDescent="0.25">
      <c r="A663" s="36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" x14ac:dyDescent="0.25">
      <c r="A664" s="36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" x14ac:dyDescent="0.25">
      <c r="A665" s="36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" x14ac:dyDescent="0.25">
      <c r="A666" s="36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" x14ac:dyDescent="0.25">
      <c r="A667" s="36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" x14ac:dyDescent="0.25">
      <c r="A668" s="36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" x14ac:dyDescent="0.25">
      <c r="A669" s="36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" x14ac:dyDescent="0.25">
      <c r="A670" s="36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" x14ac:dyDescent="0.25">
      <c r="A671" s="36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" x14ac:dyDescent="0.25">
      <c r="A672" s="36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" x14ac:dyDescent="0.25">
      <c r="A673" s="36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" x14ac:dyDescent="0.25">
      <c r="A674" s="36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" x14ac:dyDescent="0.25">
      <c r="A675" s="36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" x14ac:dyDescent="0.25">
      <c r="A676" s="36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" x14ac:dyDescent="0.25">
      <c r="A677" s="36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" x14ac:dyDescent="0.25">
      <c r="A678" s="36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" x14ac:dyDescent="0.25">
      <c r="A679" s="36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" x14ac:dyDescent="0.25">
      <c r="A680" s="36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" x14ac:dyDescent="0.25">
      <c r="A681" s="36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" x14ac:dyDescent="0.25">
      <c r="A682" s="36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" x14ac:dyDescent="0.25">
      <c r="A683" s="36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" x14ac:dyDescent="0.25">
      <c r="A684" s="36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" x14ac:dyDescent="0.25">
      <c r="A685" s="36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" x14ac:dyDescent="0.25">
      <c r="A686" s="36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" x14ac:dyDescent="0.25">
      <c r="A687" s="36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" x14ac:dyDescent="0.25">
      <c r="A688" s="36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" x14ac:dyDescent="0.25">
      <c r="A689" s="36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" x14ac:dyDescent="0.25">
      <c r="A690" s="36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" x14ac:dyDescent="0.25">
      <c r="A691" s="36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" x14ac:dyDescent="0.25">
      <c r="A692" s="36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" x14ac:dyDescent="0.25">
      <c r="A693" s="36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" x14ac:dyDescent="0.25">
      <c r="A694" s="36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" x14ac:dyDescent="0.25">
      <c r="A695" s="36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" x14ac:dyDescent="0.25">
      <c r="A696" s="36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" x14ac:dyDescent="0.25">
      <c r="A697" s="36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" x14ac:dyDescent="0.25">
      <c r="A698" s="36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" x14ac:dyDescent="0.25">
      <c r="A699" s="36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" x14ac:dyDescent="0.25">
      <c r="A700" s="36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" x14ac:dyDescent="0.25">
      <c r="A701" s="36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" x14ac:dyDescent="0.25">
      <c r="A702" s="36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" x14ac:dyDescent="0.25">
      <c r="A703" s="36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" x14ac:dyDescent="0.25">
      <c r="A704" s="36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" x14ac:dyDescent="0.25">
      <c r="A705" s="36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" x14ac:dyDescent="0.25">
      <c r="A706" s="36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" x14ac:dyDescent="0.25">
      <c r="A707" s="36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" x14ac:dyDescent="0.25">
      <c r="A708" s="36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" x14ac:dyDescent="0.25">
      <c r="A709" s="36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" x14ac:dyDescent="0.25">
      <c r="A710" s="36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" x14ac:dyDescent="0.25">
      <c r="A711" s="36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" x14ac:dyDescent="0.25">
      <c r="A712" s="36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" x14ac:dyDescent="0.25">
      <c r="A713" s="36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" x14ac:dyDescent="0.25">
      <c r="A714" s="36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" x14ac:dyDescent="0.25">
      <c r="A715" s="36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" x14ac:dyDescent="0.25">
      <c r="A716" s="36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" x14ac:dyDescent="0.25">
      <c r="A717" s="36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" x14ac:dyDescent="0.25">
      <c r="A718" s="36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" x14ac:dyDescent="0.25">
      <c r="A719" s="36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" x14ac:dyDescent="0.25">
      <c r="A720" s="36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" x14ac:dyDescent="0.25">
      <c r="A721" s="36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" x14ac:dyDescent="0.25">
      <c r="A722" s="36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" x14ac:dyDescent="0.25">
      <c r="A723" s="36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" x14ac:dyDescent="0.25">
      <c r="A724" s="36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" x14ac:dyDescent="0.25">
      <c r="A725" s="36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" x14ac:dyDescent="0.25">
      <c r="A726" s="36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" x14ac:dyDescent="0.25">
      <c r="A727" s="36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" x14ac:dyDescent="0.25">
      <c r="A728" s="36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" x14ac:dyDescent="0.25">
      <c r="A729" s="36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" x14ac:dyDescent="0.25">
      <c r="A730" s="36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" x14ac:dyDescent="0.25">
      <c r="A731" s="36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" x14ac:dyDescent="0.25">
      <c r="A732" s="36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" x14ac:dyDescent="0.25">
      <c r="A733" s="36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" x14ac:dyDescent="0.25">
      <c r="A734" s="36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" x14ac:dyDescent="0.25">
      <c r="A735" s="36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" x14ac:dyDescent="0.25">
      <c r="A736" s="36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" x14ac:dyDescent="0.25">
      <c r="A737" s="36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" x14ac:dyDescent="0.25">
      <c r="A738" s="36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" x14ac:dyDescent="0.25">
      <c r="A739" s="36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" x14ac:dyDescent="0.25">
      <c r="A740" s="36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" x14ac:dyDescent="0.25">
      <c r="A741" s="36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" x14ac:dyDescent="0.25">
      <c r="A742" s="36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" x14ac:dyDescent="0.25">
      <c r="A743" s="36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" x14ac:dyDescent="0.25">
      <c r="A744" s="36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" x14ac:dyDescent="0.25">
      <c r="A745" s="36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" x14ac:dyDescent="0.25">
      <c r="A746" s="36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" x14ac:dyDescent="0.25">
      <c r="A747" s="36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" x14ac:dyDescent="0.25">
      <c r="A748" s="36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" x14ac:dyDescent="0.25">
      <c r="A749" s="36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" x14ac:dyDescent="0.25">
      <c r="A750" s="36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" x14ac:dyDescent="0.25">
      <c r="A751" s="36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" x14ac:dyDescent="0.25">
      <c r="A752" s="36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" x14ac:dyDescent="0.25">
      <c r="A753" s="36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" x14ac:dyDescent="0.25">
      <c r="A754" s="36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" x14ac:dyDescent="0.25">
      <c r="A755" s="36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" x14ac:dyDescent="0.25">
      <c r="A756" s="36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" x14ac:dyDescent="0.25">
      <c r="A757" s="36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" x14ac:dyDescent="0.25">
      <c r="A758" s="36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" x14ac:dyDescent="0.25">
      <c r="A759" s="36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" x14ac:dyDescent="0.25">
      <c r="A760" s="36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" x14ac:dyDescent="0.25">
      <c r="A761" s="36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" x14ac:dyDescent="0.25">
      <c r="A762" s="36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" x14ac:dyDescent="0.25">
      <c r="A763" s="36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" x14ac:dyDescent="0.25">
      <c r="A764" s="36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" x14ac:dyDescent="0.25">
      <c r="A765" s="36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" x14ac:dyDescent="0.25">
      <c r="A766" s="36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" x14ac:dyDescent="0.25">
      <c r="A767" s="36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" x14ac:dyDescent="0.25">
      <c r="A768" s="36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" x14ac:dyDescent="0.25">
      <c r="A769" s="36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" x14ac:dyDescent="0.25">
      <c r="A770" s="36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" x14ac:dyDescent="0.25">
      <c r="A771" s="36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" x14ac:dyDescent="0.25">
      <c r="A772" s="36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" x14ac:dyDescent="0.25">
      <c r="A773" s="36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" x14ac:dyDescent="0.25">
      <c r="A774" s="36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" x14ac:dyDescent="0.25">
      <c r="A775" s="36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" x14ac:dyDescent="0.25">
      <c r="A776" s="36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" x14ac:dyDescent="0.25">
      <c r="A777" s="36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" x14ac:dyDescent="0.25">
      <c r="A778" s="36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" x14ac:dyDescent="0.25">
      <c r="A779" s="36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" x14ac:dyDescent="0.25">
      <c r="A780" s="36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" x14ac:dyDescent="0.25">
      <c r="A781" s="36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" x14ac:dyDescent="0.25">
      <c r="A782" s="36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" x14ac:dyDescent="0.25">
      <c r="A783" s="36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" x14ac:dyDescent="0.25">
      <c r="A784" s="36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" x14ac:dyDescent="0.25">
      <c r="A785" s="36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" x14ac:dyDescent="0.25">
      <c r="A786" s="36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" x14ac:dyDescent="0.25">
      <c r="A787" s="36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" x14ac:dyDescent="0.25">
      <c r="A788" s="36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" x14ac:dyDescent="0.25">
      <c r="A789" s="36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" x14ac:dyDescent="0.25">
      <c r="A790" s="36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" x14ac:dyDescent="0.25">
      <c r="A791" s="36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" x14ac:dyDescent="0.25">
      <c r="A792" s="36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" x14ac:dyDescent="0.25">
      <c r="A793" s="36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" x14ac:dyDescent="0.25">
      <c r="A794" s="36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" x14ac:dyDescent="0.25">
      <c r="A795" s="36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" x14ac:dyDescent="0.25">
      <c r="A796" s="36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" x14ac:dyDescent="0.25">
      <c r="A797" s="36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" x14ac:dyDescent="0.25">
      <c r="A798" s="36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" x14ac:dyDescent="0.25">
      <c r="A799" s="36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" x14ac:dyDescent="0.25">
      <c r="A800" s="36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" x14ac:dyDescent="0.25">
      <c r="A801" s="36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" x14ac:dyDescent="0.25">
      <c r="A802" s="36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" x14ac:dyDescent="0.25">
      <c r="A803" s="36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" x14ac:dyDescent="0.25">
      <c r="A804" s="36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" x14ac:dyDescent="0.25">
      <c r="A805" s="36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" x14ac:dyDescent="0.25">
      <c r="A806" s="36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" x14ac:dyDescent="0.25">
      <c r="A807" s="36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" x14ac:dyDescent="0.25">
      <c r="A808" s="36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" x14ac:dyDescent="0.25">
      <c r="A809" s="36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" x14ac:dyDescent="0.25">
      <c r="A810" s="36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" x14ac:dyDescent="0.25">
      <c r="A811" s="36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" x14ac:dyDescent="0.25">
      <c r="A812" s="36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" x14ac:dyDescent="0.25">
      <c r="A813" s="36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" x14ac:dyDescent="0.25">
      <c r="A814" s="36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" x14ac:dyDescent="0.25">
      <c r="A815" s="36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" x14ac:dyDescent="0.25">
      <c r="A816" s="36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" x14ac:dyDescent="0.25">
      <c r="A817" s="36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" x14ac:dyDescent="0.25">
      <c r="A818" s="36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" x14ac:dyDescent="0.25">
      <c r="A819" s="36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" x14ac:dyDescent="0.25">
      <c r="A820" s="36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" x14ac:dyDescent="0.25">
      <c r="A821" s="36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" x14ac:dyDescent="0.25">
      <c r="A822" s="36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" x14ac:dyDescent="0.25">
      <c r="A823" s="36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" x14ac:dyDescent="0.25">
      <c r="A824" s="36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" x14ac:dyDescent="0.25">
      <c r="A825" s="36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" x14ac:dyDescent="0.25">
      <c r="A826" s="36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" x14ac:dyDescent="0.25">
      <c r="A827" s="36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" x14ac:dyDescent="0.25">
      <c r="A828" s="36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" x14ac:dyDescent="0.25">
      <c r="A829" s="36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" x14ac:dyDescent="0.25">
      <c r="A830" s="36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" x14ac:dyDescent="0.25">
      <c r="A831" s="36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" x14ac:dyDescent="0.25">
      <c r="A832" s="36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" x14ac:dyDescent="0.25">
      <c r="A833" s="36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" x14ac:dyDescent="0.25">
      <c r="A834" s="36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" x14ac:dyDescent="0.25">
      <c r="A835" s="36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" x14ac:dyDescent="0.25">
      <c r="A836" s="36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" x14ac:dyDescent="0.25">
      <c r="A837" s="36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" x14ac:dyDescent="0.25">
      <c r="A838" s="36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" x14ac:dyDescent="0.25">
      <c r="A839" s="36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" x14ac:dyDescent="0.25">
      <c r="A840" s="36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" x14ac:dyDescent="0.25">
      <c r="A841" s="36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" x14ac:dyDescent="0.25">
      <c r="A842" s="36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" x14ac:dyDescent="0.25">
      <c r="A843" s="36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" x14ac:dyDescent="0.25">
      <c r="A844" s="36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" x14ac:dyDescent="0.25">
      <c r="A845" s="36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" x14ac:dyDescent="0.25">
      <c r="A846" s="36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" x14ac:dyDescent="0.25">
      <c r="A847" s="36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" x14ac:dyDescent="0.25">
      <c r="A848" s="36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" x14ac:dyDescent="0.25">
      <c r="A849" s="36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" x14ac:dyDescent="0.25">
      <c r="A850" s="36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" x14ac:dyDescent="0.25">
      <c r="A851" s="36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" x14ac:dyDescent="0.25">
      <c r="A852" s="36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" x14ac:dyDescent="0.25">
      <c r="A853" s="36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" x14ac:dyDescent="0.25">
      <c r="A854" s="36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" x14ac:dyDescent="0.25">
      <c r="A855" s="36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" x14ac:dyDescent="0.25">
      <c r="A856" s="36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" x14ac:dyDescent="0.25">
      <c r="A857" s="36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" x14ac:dyDescent="0.25">
      <c r="A858" s="36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" x14ac:dyDescent="0.25">
      <c r="A859" s="36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" x14ac:dyDescent="0.25">
      <c r="A860" s="36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" x14ac:dyDescent="0.25">
      <c r="A861" s="36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" x14ac:dyDescent="0.25">
      <c r="A862" s="36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" x14ac:dyDescent="0.25">
      <c r="A863" s="36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" x14ac:dyDescent="0.25">
      <c r="A864" s="36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" x14ac:dyDescent="0.25">
      <c r="A865" s="36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" x14ac:dyDescent="0.25">
      <c r="A866" s="36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" x14ac:dyDescent="0.25">
      <c r="A867" s="36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" x14ac:dyDescent="0.25">
      <c r="A868" s="36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" x14ac:dyDescent="0.25">
      <c r="A869" s="36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" x14ac:dyDescent="0.25">
      <c r="A870" s="36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" x14ac:dyDescent="0.25">
      <c r="A871" s="36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" x14ac:dyDescent="0.25">
      <c r="A872" s="36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" x14ac:dyDescent="0.25">
      <c r="A873" s="36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" x14ac:dyDescent="0.25">
      <c r="A874" s="36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" x14ac:dyDescent="0.25">
      <c r="A875" s="36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" x14ac:dyDescent="0.25">
      <c r="A876" s="36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" x14ac:dyDescent="0.25">
      <c r="A877" s="36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" x14ac:dyDescent="0.25">
      <c r="A878" s="36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" x14ac:dyDescent="0.25">
      <c r="A879" s="36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" x14ac:dyDescent="0.25">
      <c r="A880" s="36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" x14ac:dyDescent="0.25">
      <c r="A881" s="36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" x14ac:dyDescent="0.25">
      <c r="A882" s="36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" x14ac:dyDescent="0.25">
      <c r="A883" s="36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" x14ac:dyDescent="0.25">
      <c r="A884" s="36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" x14ac:dyDescent="0.25">
      <c r="A885" s="36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" x14ac:dyDescent="0.25">
      <c r="A886" s="36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" x14ac:dyDescent="0.25">
      <c r="A887" s="36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" x14ac:dyDescent="0.25">
      <c r="A888" s="36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" x14ac:dyDescent="0.25">
      <c r="A889" s="36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" x14ac:dyDescent="0.25">
      <c r="A890" s="36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" x14ac:dyDescent="0.25">
      <c r="A891" s="36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" x14ac:dyDescent="0.25">
      <c r="A892" s="36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" x14ac:dyDescent="0.25">
      <c r="A893" s="36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" x14ac:dyDescent="0.25">
      <c r="A894" s="36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" x14ac:dyDescent="0.25">
      <c r="A895" s="36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" x14ac:dyDescent="0.25">
      <c r="A896" s="36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" x14ac:dyDescent="0.25">
      <c r="A897" s="36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" x14ac:dyDescent="0.25">
      <c r="A898" s="36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" x14ac:dyDescent="0.25">
      <c r="A899" s="36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" x14ac:dyDescent="0.25">
      <c r="A900" s="36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" x14ac:dyDescent="0.25">
      <c r="A901" s="36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" x14ac:dyDescent="0.25">
      <c r="A902" s="36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" x14ac:dyDescent="0.25">
      <c r="A903" s="36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" x14ac:dyDescent="0.25">
      <c r="A904" s="36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" x14ac:dyDescent="0.25">
      <c r="A905" s="36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" x14ac:dyDescent="0.25">
      <c r="A906" s="36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" x14ac:dyDescent="0.25">
      <c r="A907" s="36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" x14ac:dyDescent="0.25">
      <c r="A908" s="36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" x14ac:dyDescent="0.25">
      <c r="A909" s="36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" x14ac:dyDescent="0.25">
      <c r="A910" s="36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" x14ac:dyDescent="0.25">
      <c r="A911" s="36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" x14ac:dyDescent="0.25">
      <c r="A912" s="36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" x14ac:dyDescent="0.25">
      <c r="A913" s="36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" x14ac:dyDescent="0.25">
      <c r="A914" s="36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" x14ac:dyDescent="0.25">
      <c r="A915" s="36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" x14ac:dyDescent="0.25">
      <c r="A916" s="36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" x14ac:dyDescent="0.25">
      <c r="A917" s="36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" x14ac:dyDescent="0.25">
      <c r="A918" s="36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" x14ac:dyDescent="0.25">
      <c r="A919" s="36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" x14ac:dyDescent="0.25">
      <c r="A920" s="36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" x14ac:dyDescent="0.25">
      <c r="A921" s="36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" x14ac:dyDescent="0.25">
      <c r="A922" s="36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" x14ac:dyDescent="0.25">
      <c r="A923" s="36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" x14ac:dyDescent="0.25">
      <c r="A924" s="36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" x14ac:dyDescent="0.25">
      <c r="A925" s="36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" x14ac:dyDescent="0.25">
      <c r="A926" s="36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" x14ac:dyDescent="0.25">
      <c r="A927" s="36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" x14ac:dyDescent="0.25">
      <c r="A928" s="36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" x14ac:dyDescent="0.25">
      <c r="A929" s="36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" x14ac:dyDescent="0.25">
      <c r="A930" s="36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" x14ac:dyDescent="0.25">
      <c r="A931" s="36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" x14ac:dyDescent="0.25">
      <c r="A932" s="36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" x14ac:dyDescent="0.25">
      <c r="A933" s="36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" x14ac:dyDescent="0.25">
      <c r="A934" s="36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" x14ac:dyDescent="0.25">
      <c r="A935" s="36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" x14ac:dyDescent="0.25">
      <c r="A936" s="36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" x14ac:dyDescent="0.25">
      <c r="A937" s="36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" x14ac:dyDescent="0.25">
      <c r="A938" s="36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" x14ac:dyDescent="0.25">
      <c r="A939" s="36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" x14ac:dyDescent="0.25">
      <c r="A940" s="36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" x14ac:dyDescent="0.25">
      <c r="A941" s="36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" x14ac:dyDescent="0.25">
      <c r="A942" s="36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" x14ac:dyDescent="0.25">
      <c r="A943" s="36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" x14ac:dyDescent="0.25">
      <c r="A944" s="36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" x14ac:dyDescent="0.25">
      <c r="A945" s="36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" x14ac:dyDescent="0.25">
      <c r="A946" s="36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" x14ac:dyDescent="0.25">
      <c r="A947" s="36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" x14ac:dyDescent="0.25">
      <c r="A948" s="36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" x14ac:dyDescent="0.25">
      <c r="A949" s="36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" x14ac:dyDescent="0.25">
      <c r="A950" s="36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" x14ac:dyDescent="0.25">
      <c r="A951" s="36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" x14ac:dyDescent="0.25">
      <c r="A952" s="36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" x14ac:dyDescent="0.25">
      <c r="A953" s="36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" x14ac:dyDescent="0.25">
      <c r="A954" s="36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" x14ac:dyDescent="0.25">
      <c r="A955" s="36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" x14ac:dyDescent="0.25">
      <c r="A956" s="36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" x14ac:dyDescent="0.25">
      <c r="A957" s="36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" x14ac:dyDescent="0.25">
      <c r="A958" s="36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" x14ac:dyDescent="0.25">
      <c r="A959" s="36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" x14ac:dyDescent="0.25">
      <c r="A960" s="36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" x14ac:dyDescent="0.25">
      <c r="A961" s="36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" x14ac:dyDescent="0.25">
      <c r="A962" s="36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" x14ac:dyDescent="0.25">
      <c r="A963" s="36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</sheetData>
  <mergeCells count="4">
    <mergeCell ref="A38:C38"/>
    <mergeCell ref="A80:C80"/>
    <mergeCell ref="A85:C85"/>
    <mergeCell ref="A1:C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17C03926-D3F4-434A-B0FD-B80EDE59C884}">
  <ds:schemaRefs/>
</ds:datastoreItem>
</file>

<file path=customXml/itemProps2.xml><?xml version="1.0" encoding="utf-8"?>
<ds:datastoreItem xmlns:ds="http://schemas.openxmlformats.org/officeDocument/2006/customXml" ds:itemID="{9A8AB19D-A208-4413-892F-1E85B38600B4}">
  <ds:schemaRefs/>
</ds:datastoreItem>
</file>

<file path=customXml/itemProps3.xml><?xml version="1.0" encoding="utf-8"?>
<ds:datastoreItem xmlns:ds="http://schemas.openxmlformats.org/officeDocument/2006/customXml" ds:itemID="{86E7A85B-892F-4940-8DA1-C6C23872D77D}">
  <ds:schemaRefs/>
</ds:datastoreItem>
</file>

<file path=customXml/itemProps4.xml><?xml version="1.0" encoding="utf-8"?>
<ds:datastoreItem xmlns:ds="http://schemas.openxmlformats.org/officeDocument/2006/customXml" ds:itemID="{60DB4370-0058-4ED6-9C1D-9A7A14ED95CE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2F818991-FB36-41C7-84FC-B8C7D4C862C2}">
  <ds:schemaRefs/>
</ds:datastoreItem>
</file>

<file path=customXml/itemProps6.xml><?xml version="1.0" encoding="utf-8"?>
<ds:datastoreItem xmlns:ds="http://schemas.openxmlformats.org/officeDocument/2006/customXml" ds:itemID="{18E9BA0F-589F-4EED-9F38-A08D6B0BCE53}">
  <ds:schemaRefs/>
</ds:datastoreItem>
</file>

<file path=customXml/itemProps7.xml><?xml version="1.0" encoding="utf-8"?>
<ds:datastoreItem xmlns:ds="http://schemas.openxmlformats.org/officeDocument/2006/customXml" ds:itemID="{BE8FE3F1-47D7-463E-A958-D16CCB243A1F}">
  <ds:schemaRefs/>
</ds:datastoreItem>
</file>

<file path=customXml/itemProps8.xml><?xml version="1.0" encoding="utf-8"?>
<ds:datastoreItem xmlns:ds="http://schemas.openxmlformats.org/officeDocument/2006/customXml" ds:itemID="{E24DB467-5692-46BF-9A27-557870CFEB6E}">
  <ds:schemaRefs/>
</ds:datastoreItem>
</file>

<file path=customXml/itemProps9.xml><?xml version="1.0" encoding="utf-8"?>
<ds:datastoreItem xmlns:ds="http://schemas.openxmlformats.org/officeDocument/2006/customXml" ds:itemID="{80B3F023-8266-4B11-8AC9-B6495658944F}">
  <ds:schemaRefs/>
</ds:datastoreItem>
</file>

<file path=customXml/itemProps10.xml><?xml version="1.0" encoding="utf-8"?>
<ds:datastoreItem xmlns:ds="http://schemas.openxmlformats.org/officeDocument/2006/customXml" ds:itemID="{5376FB4E-A4B6-42EA-8C62-00F2DFF2E9B7}">
  <ds:schemaRefs/>
</ds:datastoreItem>
</file>

<file path=customXml/itemProps11.xml><?xml version="1.0" encoding="utf-8"?>
<ds:datastoreItem xmlns:ds="http://schemas.openxmlformats.org/officeDocument/2006/customXml" ds:itemID="{F8BDA1FB-B8AA-4359-A45E-425F73A5F93E}">
  <ds:schemaRefs/>
</ds:datastoreItem>
</file>

<file path=customXml/itemProps12.xml><?xml version="1.0" encoding="utf-8"?>
<ds:datastoreItem xmlns:ds="http://schemas.openxmlformats.org/officeDocument/2006/customXml" ds:itemID="{25306558-8DD7-4E23-9C4E-984A5F0E5F58}">
  <ds:schemaRefs/>
</ds:datastoreItem>
</file>

<file path=customXml/itemProps13.xml><?xml version="1.0" encoding="utf-8"?>
<ds:datastoreItem xmlns:ds="http://schemas.openxmlformats.org/officeDocument/2006/customXml" ds:itemID="{9700D12B-3D86-4CC3-992A-40446A6373F2}">
  <ds:schemaRefs/>
</ds:datastoreItem>
</file>

<file path=customXml/itemProps14.xml><?xml version="1.0" encoding="utf-8"?>
<ds:datastoreItem xmlns:ds="http://schemas.openxmlformats.org/officeDocument/2006/customXml" ds:itemID="{9B68D319-491B-4F2E-8241-62FCDF097BBA}">
  <ds:schemaRefs/>
</ds:datastoreItem>
</file>

<file path=customXml/itemProps15.xml><?xml version="1.0" encoding="utf-8"?>
<ds:datastoreItem xmlns:ds="http://schemas.openxmlformats.org/officeDocument/2006/customXml" ds:itemID="{AF82259C-4142-494C-8B5E-3AC995526938}">
  <ds:schemaRefs/>
</ds:datastoreItem>
</file>

<file path=customXml/itemProps16.xml><?xml version="1.0" encoding="utf-8"?>
<ds:datastoreItem xmlns:ds="http://schemas.openxmlformats.org/officeDocument/2006/customXml" ds:itemID="{C4B124FE-AC04-4BAA-A6F6-038B3917608F}">
  <ds:schemaRefs/>
</ds:datastoreItem>
</file>

<file path=customXml/itemProps17.xml><?xml version="1.0" encoding="utf-8"?>
<ds:datastoreItem xmlns:ds="http://schemas.openxmlformats.org/officeDocument/2006/customXml" ds:itemID="{29A2408D-FF91-4416-971C-3A48E88D632B}">
  <ds:schemaRefs/>
</ds:datastoreItem>
</file>

<file path=customXml/itemProps18.xml><?xml version="1.0" encoding="utf-8"?>
<ds:datastoreItem xmlns:ds="http://schemas.openxmlformats.org/officeDocument/2006/customXml" ds:itemID="{9C581D1F-0610-4713-B6D4-313EF28DBEC7}">
  <ds:schemaRefs/>
</ds:datastoreItem>
</file>

<file path=customXml/itemProps19.xml><?xml version="1.0" encoding="utf-8"?>
<ds:datastoreItem xmlns:ds="http://schemas.openxmlformats.org/officeDocument/2006/customXml" ds:itemID="{48554155-702D-46BD-85BB-282D2153083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INPUT_ContexteBIA</vt:lpstr>
      <vt:lpstr>INPUT_Sources de Risques</vt:lpstr>
      <vt:lpstr>INPUT_Mesures Actuelles</vt:lpstr>
      <vt:lpstr>VUE_SM</vt:lpstr>
      <vt:lpstr>VUE_Mesures</vt:lpstr>
      <vt:lpstr>VUE_Risques</vt:lpstr>
      <vt:lpstr>REF_ER</vt:lpstr>
      <vt:lpstr>REF_Risques</vt:lpstr>
      <vt:lpstr>REF_Mesures</vt:lpstr>
      <vt:lpstr>REF_SMMS</vt:lpstr>
      <vt:lpstr>REF_SMSR</vt:lpstr>
      <vt:lpstr>DATA_Listes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pauld</cp:lastModifiedBy>
  <dcterms:modified xsi:type="dcterms:W3CDTF">2020-10-13T08:00:55Z</dcterms:modified>
</cp:coreProperties>
</file>