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harts/chart3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3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3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3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3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Lea\Box\TRB2022\"/>
    </mc:Choice>
  </mc:AlternateContent>
  <xr:revisionPtr revIDLastSave="0" documentId="13_ncr:1_{B44AC7EE-C5EF-4728-86DF-B5BC6D44AACF}" xr6:coauthVersionLast="47" xr6:coauthVersionMax="47" xr10:uidLastSave="{00000000-0000-0000-0000-000000000000}"/>
  <bookViews>
    <workbookView xWindow="-28920" yWindow="-120" windowWidth="29040" windowHeight="16440" activeTab="6" xr2:uid="{5D0BAB49-3FC0-4342-BF0E-4E62F450F478}"/>
  </bookViews>
  <sheets>
    <sheet name="Sheet1" sheetId="1" r:id="rId1"/>
    <sheet name="Sheet1 (2)" sheetId="8" r:id="rId2"/>
    <sheet name="Sheet2" sheetId="3" r:id="rId3"/>
    <sheet name="Sheet3" sheetId="4" r:id="rId4"/>
    <sheet name="Sheet6" sheetId="7" r:id="rId5"/>
    <sheet name="Sheet4" sheetId="5" r:id="rId6"/>
    <sheet name="Sheet5" sheetId="6" r:id="rId7"/>
    <sheet name="Sheet7" sheetId="9" r:id="rId8"/>
  </sheets>
  <definedNames>
    <definedName name="solver_adj" localSheetId="0" hidden="1">Sheet1!$R$1</definedName>
    <definedName name="solver_adj" localSheetId="1" hidden="1">'Sheet1 (2)'!$R$1</definedName>
    <definedName name="solver_adj" localSheetId="6" hidden="1">Sheet5!$C$2:$G$3,Sheet5!$I$2:$I$3,Sheet5!$K$2:$K$3,Sheet5!$M$2:$M$3</definedName>
    <definedName name="solver_cvg" localSheetId="0" hidden="1">0.0001</definedName>
    <definedName name="solver_cvg" localSheetId="1" hidden="1">0.0001</definedName>
    <definedName name="solver_cvg" localSheetId="6" hidden="1">0.000001</definedName>
    <definedName name="solver_drv" localSheetId="0" hidden="1">1</definedName>
    <definedName name="solver_drv" localSheetId="1" hidden="1">1</definedName>
    <definedName name="solver_drv" localSheetId="6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6" hidden="1">1</definedName>
    <definedName name="solver_est" localSheetId="0" hidden="1">1</definedName>
    <definedName name="solver_est" localSheetId="1" hidden="1">1</definedName>
    <definedName name="solver_est" localSheetId="6" hidden="1">1</definedName>
    <definedName name="solver_itr" localSheetId="0" hidden="1">2147483647</definedName>
    <definedName name="solver_itr" localSheetId="1" hidden="1">2147483647</definedName>
    <definedName name="solver_itr" localSheetId="6" hidden="1">2147483647</definedName>
    <definedName name="solver_lhs1" localSheetId="6" hidden="1">Sheet5!$G$2</definedName>
    <definedName name="solver_mip" localSheetId="0" hidden="1">2147483647</definedName>
    <definedName name="solver_mip" localSheetId="1" hidden="1">2147483647</definedName>
    <definedName name="solver_mip" localSheetId="6" hidden="1">2147483647</definedName>
    <definedName name="solver_mni" localSheetId="0" hidden="1">30</definedName>
    <definedName name="solver_mni" localSheetId="1" hidden="1">30</definedName>
    <definedName name="solver_mni" localSheetId="6" hidden="1">30</definedName>
    <definedName name="solver_mrt" localSheetId="0" hidden="1">0.075</definedName>
    <definedName name="solver_mrt" localSheetId="1" hidden="1">0.075</definedName>
    <definedName name="solver_mrt" localSheetId="6" hidden="1">0.075</definedName>
    <definedName name="solver_msl" localSheetId="0" hidden="1">2</definedName>
    <definedName name="solver_msl" localSheetId="1" hidden="1">2</definedName>
    <definedName name="solver_msl" localSheetId="6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6" hidden="1">2</definedName>
    <definedName name="solver_nod" localSheetId="0" hidden="1">2147483647</definedName>
    <definedName name="solver_nod" localSheetId="1" hidden="1">2147483647</definedName>
    <definedName name="solver_nod" localSheetId="6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6" hidden="1">1</definedName>
    <definedName name="solver_nwt" localSheetId="0" hidden="1">1</definedName>
    <definedName name="solver_nwt" localSheetId="1" hidden="1">1</definedName>
    <definedName name="solver_nwt" localSheetId="6" hidden="1">1</definedName>
    <definedName name="solver_opt" localSheetId="0" hidden="1">Sheet1!$W$2</definedName>
    <definedName name="solver_opt" localSheetId="1" hidden="1">'Sheet1 (2)'!$W$2</definedName>
    <definedName name="solver_opt" localSheetId="2" hidden="1">Sheet2!$L$17</definedName>
    <definedName name="solver_opt" localSheetId="6" hidden="1">Sheet5!$B$14</definedName>
    <definedName name="solver_pre" localSheetId="0" hidden="1">0.000001</definedName>
    <definedName name="solver_pre" localSheetId="1" hidden="1">0.000001</definedName>
    <definedName name="solver_pre" localSheetId="6" hidden="1">0.00000001</definedName>
    <definedName name="solver_rbv" localSheetId="0" hidden="1">1</definedName>
    <definedName name="solver_rbv" localSheetId="1" hidden="1">1</definedName>
    <definedName name="solver_rbv" localSheetId="6" hidden="1">1</definedName>
    <definedName name="solver_rel1" localSheetId="6" hidden="1">2</definedName>
    <definedName name="solver_rhs1" localSheetId="6" hidden="1">0</definedName>
    <definedName name="solver_rlx" localSheetId="0" hidden="1">2</definedName>
    <definedName name="solver_rlx" localSheetId="1" hidden="1">2</definedName>
    <definedName name="solver_rlx" localSheetId="6" hidden="1">2</definedName>
    <definedName name="solver_rsd" localSheetId="0" hidden="1">0</definedName>
    <definedName name="solver_rsd" localSheetId="1" hidden="1">0</definedName>
    <definedName name="solver_rsd" localSheetId="6" hidden="1">0</definedName>
    <definedName name="solver_scl" localSheetId="0" hidden="1">1</definedName>
    <definedName name="solver_scl" localSheetId="1" hidden="1">1</definedName>
    <definedName name="solver_scl" localSheetId="6" hidden="1">1</definedName>
    <definedName name="solver_sho" localSheetId="0" hidden="1">2</definedName>
    <definedName name="solver_sho" localSheetId="1" hidden="1">2</definedName>
    <definedName name="solver_sho" localSheetId="6" hidden="1">2</definedName>
    <definedName name="solver_ssz" localSheetId="0" hidden="1">100</definedName>
    <definedName name="solver_ssz" localSheetId="1" hidden="1">100</definedName>
    <definedName name="solver_ssz" localSheetId="6" hidden="1">100</definedName>
    <definedName name="solver_tim" localSheetId="0" hidden="1">2147483647</definedName>
    <definedName name="solver_tim" localSheetId="1" hidden="1">2147483647</definedName>
    <definedName name="solver_tim" localSheetId="6" hidden="1">2147483647</definedName>
    <definedName name="solver_tol" localSheetId="0" hidden="1">0.01</definedName>
    <definedName name="solver_tol" localSheetId="1" hidden="1">0.01</definedName>
    <definedName name="solver_tol" localSheetId="6" hidden="1">0.01</definedName>
    <definedName name="solver_typ" localSheetId="0" hidden="1">3</definedName>
    <definedName name="solver_typ" localSheetId="1" hidden="1">3</definedName>
    <definedName name="solver_typ" localSheetId="2" hidden="1">1</definedName>
    <definedName name="solver_typ" localSheetId="6" hidden="1">2</definedName>
    <definedName name="solver_val" localSheetId="0" hidden="1">78</definedName>
    <definedName name="solver_val" localSheetId="1" hidden="1">78</definedName>
    <definedName name="solver_val" localSheetId="2" hidden="1">0</definedName>
    <definedName name="solver_val" localSheetId="6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6" l="1"/>
  <c r="Q5" i="6" s="1"/>
  <c r="O4" i="6"/>
  <c r="R4" i="6"/>
  <c r="R3" i="6"/>
  <c r="Q3" i="6"/>
  <c r="P3" i="6"/>
  <c r="A15" i="6"/>
  <c r="A24" i="6"/>
  <c r="B27" i="6"/>
  <c r="G31" i="6"/>
  <c r="M31" i="6"/>
  <c r="I31" i="6"/>
  <c r="E31" i="6"/>
  <c r="D31" i="6"/>
  <c r="D30" i="6"/>
  <c r="M29" i="6"/>
  <c r="K29" i="6"/>
  <c r="M27" i="6"/>
  <c r="K27" i="6"/>
  <c r="I27" i="6"/>
  <c r="G27" i="6"/>
  <c r="D27" i="6"/>
  <c r="C31" i="6"/>
  <c r="C30" i="6"/>
  <c r="C29" i="6"/>
  <c r="C27" i="6"/>
  <c r="C27" i="9"/>
  <c r="C26" i="9"/>
  <c r="C25" i="9"/>
  <c r="C24" i="9"/>
  <c r="C23" i="9"/>
  <c r="C22" i="9"/>
  <c r="C21" i="9"/>
  <c r="C20" i="9"/>
  <c r="C19" i="9"/>
  <c r="C18" i="9"/>
  <c r="C17" i="9"/>
  <c r="C16" i="9"/>
  <c r="C4" i="9" s="1"/>
  <c r="C15" i="9"/>
  <c r="C14" i="9"/>
  <c r="C13" i="9"/>
  <c r="C12" i="9"/>
  <c r="C11" i="9"/>
  <c r="C10" i="9"/>
  <c r="C9" i="9"/>
  <c r="C7" i="9"/>
  <c r="C5" i="9"/>
  <c r="K63" i="3"/>
  <c r="K62" i="3"/>
  <c r="K61" i="3"/>
  <c r="K60" i="3"/>
  <c r="K59" i="3"/>
  <c r="J64" i="3"/>
  <c r="J63" i="3"/>
  <c r="J62" i="3"/>
  <c r="J61" i="3"/>
  <c r="B20" i="6"/>
  <c r="C21" i="6"/>
  <c r="Q24" i="8"/>
  <c r="Y18" i="8"/>
  <c r="Y17" i="8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38" i="8"/>
  <c r="W38" i="8"/>
  <c r="U38" i="8"/>
  <c r="T38" i="8"/>
  <c r="S38" i="8" s="1"/>
  <c r="Q38" i="8"/>
  <c r="O38" i="8"/>
  <c r="X37" i="8"/>
  <c r="W37" i="8"/>
  <c r="U37" i="8"/>
  <c r="T37" i="8"/>
  <c r="S37" i="8" s="1"/>
  <c r="Q37" i="8"/>
  <c r="O37" i="8"/>
  <c r="X36" i="8"/>
  <c r="W36" i="8" s="1"/>
  <c r="U36" i="8"/>
  <c r="T36" i="8"/>
  <c r="S36" i="8" s="1"/>
  <c r="Q36" i="8"/>
  <c r="O36" i="8"/>
  <c r="X35" i="8"/>
  <c r="W35" i="8" s="1"/>
  <c r="U35" i="8"/>
  <c r="T35" i="8"/>
  <c r="S35" i="8" s="1"/>
  <c r="Q35" i="8"/>
  <c r="O35" i="8"/>
  <c r="X34" i="8"/>
  <c r="W34" i="8"/>
  <c r="U34" i="8"/>
  <c r="T34" i="8"/>
  <c r="S34" i="8" s="1"/>
  <c r="Q34" i="8"/>
  <c r="O34" i="8"/>
  <c r="X33" i="8"/>
  <c r="W33" i="8"/>
  <c r="U33" i="8"/>
  <c r="T33" i="8"/>
  <c r="S33" i="8" s="1"/>
  <c r="Q33" i="8"/>
  <c r="O33" i="8"/>
  <c r="X32" i="8"/>
  <c r="W32" i="8" s="1"/>
  <c r="U32" i="8"/>
  <c r="T32" i="8"/>
  <c r="S32" i="8" s="1"/>
  <c r="Q32" i="8"/>
  <c r="O32" i="8"/>
  <c r="X31" i="8"/>
  <c r="W31" i="8"/>
  <c r="U31" i="8"/>
  <c r="T31" i="8"/>
  <c r="S31" i="8"/>
  <c r="Q31" i="8"/>
  <c r="O31" i="8"/>
  <c r="X30" i="8"/>
  <c r="W30" i="8"/>
  <c r="U30" i="8"/>
  <c r="T30" i="8"/>
  <c r="S30" i="8"/>
  <c r="Q30" i="8"/>
  <c r="O30" i="8"/>
  <c r="X29" i="8"/>
  <c r="W29" i="8" s="1"/>
  <c r="U29" i="8"/>
  <c r="T29" i="8"/>
  <c r="S29" i="8" s="1"/>
  <c r="Q29" i="8"/>
  <c r="O29" i="8"/>
  <c r="X28" i="8"/>
  <c r="W28" i="8"/>
  <c r="U28" i="8"/>
  <c r="T28" i="8"/>
  <c r="S28" i="8"/>
  <c r="Q28" i="8"/>
  <c r="O28" i="8"/>
  <c r="X27" i="8"/>
  <c r="W27" i="8"/>
  <c r="U27" i="8"/>
  <c r="T27" i="8"/>
  <c r="S27" i="8"/>
  <c r="Q27" i="8"/>
  <c r="O27" i="8"/>
  <c r="X26" i="8"/>
  <c r="W26" i="8"/>
  <c r="U26" i="8"/>
  <c r="T26" i="8"/>
  <c r="S26" i="8" s="1"/>
  <c r="Q26" i="8"/>
  <c r="O26" i="8"/>
  <c r="X25" i="8"/>
  <c r="W25" i="8"/>
  <c r="U25" i="8"/>
  <c r="T25" i="8"/>
  <c r="S25" i="8"/>
  <c r="Q25" i="8"/>
  <c r="O25" i="8"/>
  <c r="W24" i="8"/>
  <c r="U24" i="8"/>
  <c r="S24" i="8"/>
  <c r="W23" i="8"/>
  <c r="U23" i="8"/>
  <c r="S23" i="8"/>
  <c r="Q23" i="8"/>
  <c r="W22" i="8"/>
  <c r="U22" i="8"/>
  <c r="W21" i="8"/>
  <c r="U21" i="8"/>
  <c r="T18" i="8"/>
  <c r="Q18" i="8"/>
  <c r="R18" i="8" s="1"/>
  <c r="T17" i="8"/>
  <c r="R17" i="8"/>
  <c r="Q17" i="8"/>
  <c r="T16" i="8"/>
  <c r="Q16" i="8"/>
  <c r="R16" i="8" s="1"/>
  <c r="T15" i="8"/>
  <c r="R15" i="8"/>
  <c r="Q15" i="8"/>
  <c r="T14" i="8"/>
  <c r="R14" i="8"/>
  <c r="Q14" i="8"/>
  <c r="T13" i="8"/>
  <c r="R13" i="8"/>
  <c r="Q13" i="8"/>
  <c r="T12" i="8"/>
  <c r="R12" i="8"/>
  <c r="Q12" i="8"/>
  <c r="D12" i="8"/>
  <c r="B12" i="8"/>
  <c r="C12" i="8" s="1"/>
  <c r="Q11" i="8"/>
  <c r="R11" i="8" s="1"/>
  <c r="D11" i="8"/>
  <c r="B11" i="8"/>
  <c r="C11" i="8" s="1"/>
  <c r="T10" i="8"/>
  <c r="R10" i="8"/>
  <c r="Q10" i="8"/>
  <c r="D10" i="8"/>
  <c r="B10" i="8"/>
  <c r="C10" i="8" s="1"/>
  <c r="Q9" i="8"/>
  <c r="T9" i="8" s="1"/>
  <c r="D9" i="8"/>
  <c r="B9" i="8"/>
  <c r="C9" i="8" s="1"/>
  <c r="Q8" i="8"/>
  <c r="T8" i="8" s="1"/>
  <c r="D8" i="8"/>
  <c r="B8" i="8"/>
  <c r="C8" i="8" s="1"/>
  <c r="R7" i="8"/>
  <c r="Q7" i="8"/>
  <c r="T7" i="8" s="1"/>
  <c r="D7" i="8"/>
  <c r="B7" i="8"/>
  <c r="C7" i="8" s="1"/>
  <c r="T6" i="8"/>
  <c r="R6" i="8"/>
  <c r="Q6" i="8"/>
  <c r="D6" i="8"/>
  <c r="B6" i="8"/>
  <c r="C6" i="8" s="1"/>
  <c r="T5" i="8"/>
  <c r="Q5" i="8"/>
  <c r="R5" i="8" s="1"/>
  <c r="D5" i="8"/>
  <c r="B5" i="8"/>
  <c r="C5" i="8" s="1"/>
  <c r="T4" i="8"/>
  <c r="R4" i="8"/>
  <c r="Q4" i="8"/>
  <c r="D4" i="8"/>
  <c r="B4" i="8"/>
  <c r="C4" i="8" s="1"/>
  <c r="T3" i="8"/>
  <c r="Q3" i="8"/>
  <c r="R3" i="8" s="1"/>
  <c r="D3" i="8"/>
  <c r="B3" i="8"/>
  <c r="C3" i="8" s="1"/>
  <c r="T2" i="8"/>
  <c r="Q2" i="8"/>
  <c r="R2" i="8" s="1"/>
  <c r="D2" i="8"/>
  <c r="B2" i="8"/>
  <c r="C2" i="8" s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W24" i="1"/>
  <c r="W23" i="1"/>
  <c r="W22" i="1"/>
  <c r="W21" i="1"/>
  <c r="S24" i="1"/>
  <c r="S23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Q1" i="1"/>
  <c r="I245" i="3"/>
  <c r="E255" i="3"/>
  <c r="E254" i="3"/>
  <c r="E253" i="3"/>
  <c r="E252" i="3"/>
  <c r="E251" i="3"/>
  <c r="E250" i="3"/>
  <c r="E249" i="3"/>
  <c r="E248" i="3"/>
  <c r="E247" i="3"/>
  <c r="E246" i="3"/>
  <c r="E245" i="3"/>
  <c r="L3" i="6"/>
  <c r="L2" i="6"/>
  <c r="J3" i="6"/>
  <c r="J2" i="6"/>
  <c r="H3" i="6"/>
  <c r="H2" i="6"/>
  <c r="X27" i="3"/>
  <c r="X26" i="3"/>
  <c r="X25" i="3"/>
  <c r="X24" i="3"/>
  <c r="X23" i="3"/>
  <c r="X22" i="3"/>
  <c r="X21" i="3"/>
  <c r="X20" i="3"/>
  <c r="X19" i="3"/>
  <c r="X18" i="3"/>
  <c r="X17" i="3"/>
  <c r="Z65" i="3"/>
  <c r="Z64" i="3"/>
  <c r="Z63" i="3"/>
  <c r="Z62" i="3"/>
  <c r="Z61" i="3"/>
  <c r="Z60" i="3"/>
  <c r="Z59" i="3"/>
  <c r="T55" i="3"/>
  <c r="T54" i="3"/>
  <c r="T53" i="3"/>
  <c r="T52" i="3"/>
  <c r="T51" i="3"/>
  <c r="T50" i="3"/>
  <c r="T49" i="3"/>
  <c r="Z103" i="3"/>
  <c r="AA107" i="3"/>
  <c r="AA106" i="3"/>
  <c r="AA105" i="3"/>
  <c r="AA104" i="3"/>
  <c r="AA103" i="3"/>
  <c r="AA102" i="3"/>
  <c r="AA101" i="3"/>
  <c r="AA100" i="3"/>
  <c r="AA99" i="3"/>
  <c r="AA98" i="3"/>
  <c r="AA97" i="3"/>
  <c r="R5" i="6" l="1"/>
  <c r="Q4" i="6"/>
  <c r="C8" i="9" a="1"/>
  <c r="C8" i="9" s="1"/>
  <c r="A8" i="9" s="1"/>
  <c r="C2" i="9"/>
  <c r="C6" i="9" s="1"/>
  <c r="C3" i="9"/>
  <c r="S16" i="8"/>
  <c r="T11" i="8"/>
  <c r="R8" i="8"/>
  <c r="R9" i="8"/>
  <c r="L255" i="3"/>
  <c r="L254" i="3"/>
  <c r="L253" i="3"/>
  <c r="L252" i="3"/>
  <c r="L251" i="3"/>
  <c r="L250" i="3"/>
  <c r="L249" i="3"/>
  <c r="L248" i="3"/>
  <c r="L247" i="3"/>
  <c r="L246" i="3"/>
  <c r="L245" i="3"/>
  <c r="I6" i="3"/>
  <c r="I5" i="3"/>
  <c r="I4" i="3"/>
  <c r="I3" i="3"/>
  <c r="X61" i="3"/>
  <c r="X60" i="3"/>
  <c r="X59" i="3"/>
  <c r="W62" i="3"/>
  <c r="W61" i="3"/>
  <c r="W60" i="3"/>
  <c r="W59" i="3"/>
  <c r="M64" i="3"/>
  <c r="M63" i="3"/>
  <c r="M62" i="3"/>
  <c r="M61" i="3"/>
  <c r="M60" i="3"/>
  <c r="M59" i="3"/>
  <c r="Z107" i="3"/>
  <c r="Z106" i="3"/>
  <c r="Z105" i="3"/>
  <c r="Z104" i="3"/>
  <c r="Z102" i="3"/>
  <c r="Z101" i="3"/>
  <c r="Z100" i="3"/>
  <c r="Z99" i="3"/>
  <c r="Z98" i="3"/>
  <c r="Z97" i="3"/>
  <c r="Y13" i="3"/>
  <c r="Y12" i="3"/>
  <c r="Y11" i="3"/>
  <c r="Y10" i="3"/>
  <c r="Y9" i="3"/>
  <c r="Y8" i="3"/>
  <c r="Y7" i="3"/>
  <c r="Y6" i="3"/>
  <c r="Y5" i="3"/>
  <c r="Y4" i="3"/>
  <c r="L59" i="3"/>
  <c r="L60" i="3"/>
  <c r="L61" i="3"/>
  <c r="L62" i="3"/>
  <c r="L63" i="3"/>
  <c r="M35" i="3"/>
  <c r="M34" i="3"/>
  <c r="M33" i="3"/>
  <c r="M32" i="3"/>
  <c r="M31" i="3"/>
  <c r="I31" i="3"/>
  <c r="E31" i="3"/>
  <c r="G31" i="3"/>
  <c r="L31" i="3"/>
  <c r="O31" i="3"/>
  <c r="P31" i="3"/>
  <c r="E32" i="3"/>
  <c r="G32" i="3"/>
  <c r="I32" i="3"/>
  <c r="L32" i="3"/>
  <c r="N32" i="3"/>
  <c r="O32" i="3"/>
  <c r="P32" i="3"/>
  <c r="E33" i="3"/>
  <c r="G33" i="3"/>
  <c r="I33" i="3"/>
  <c r="L33" i="3"/>
  <c r="N33" i="3"/>
  <c r="O33" i="3"/>
  <c r="P33" i="3"/>
  <c r="E34" i="3"/>
  <c r="G34" i="3"/>
  <c r="I34" i="3"/>
  <c r="L34" i="3"/>
  <c r="N34" i="3"/>
  <c r="O34" i="3"/>
  <c r="P34" i="3"/>
  <c r="E35" i="3"/>
  <c r="G35" i="3"/>
  <c r="I35" i="3"/>
  <c r="L35" i="3"/>
  <c r="N35" i="3"/>
  <c r="O35" i="3"/>
  <c r="P35" i="3"/>
  <c r="I85" i="3"/>
  <c r="I86" i="3"/>
  <c r="Y107" i="3"/>
  <c r="X107" i="3"/>
  <c r="Y106" i="3"/>
  <c r="X106" i="3"/>
  <c r="Y105" i="3"/>
  <c r="X105" i="3"/>
  <c r="Y104" i="3"/>
  <c r="X104" i="3"/>
  <c r="Y103" i="3"/>
  <c r="X103" i="3"/>
  <c r="Y102" i="3"/>
  <c r="X102" i="3"/>
  <c r="Y101" i="3"/>
  <c r="X101" i="3"/>
  <c r="Y100" i="3"/>
  <c r="X100" i="3"/>
  <c r="Y99" i="3"/>
  <c r="X99" i="3"/>
  <c r="Y98" i="3"/>
  <c r="X98" i="3"/>
  <c r="Y97" i="3"/>
  <c r="X97" i="3"/>
  <c r="W102" i="3"/>
  <c r="W101" i="3"/>
  <c r="W100" i="3"/>
  <c r="W99" i="3"/>
  <c r="W98" i="3"/>
  <c r="W97" i="3"/>
  <c r="T107" i="3"/>
  <c r="T106" i="3"/>
  <c r="T105" i="3"/>
  <c r="T104" i="3"/>
  <c r="T103" i="3"/>
  <c r="T102" i="3"/>
  <c r="T101" i="3"/>
  <c r="T100" i="3"/>
  <c r="T99" i="3"/>
  <c r="T98" i="3"/>
  <c r="T97" i="3"/>
  <c r="S107" i="3"/>
  <c r="S106" i="3"/>
  <c r="S105" i="3"/>
  <c r="S104" i="3"/>
  <c r="S103" i="3"/>
  <c r="S102" i="3"/>
  <c r="S101" i="3"/>
  <c r="S100" i="3"/>
  <c r="S99" i="3"/>
  <c r="S98" i="3"/>
  <c r="S97" i="3"/>
  <c r="S65" i="3"/>
  <c r="S64" i="3"/>
  <c r="S63" i="3"/>
  <c r="S62" i="3"/>
  <c r="S61" i="3"/>
  <c r="S60" i="3"/>
  <c r="S59" i="3"/>
  <c r="AA66" i="3"/>
  <c r="Y65" i="3"/>
  <c r="Y64" i="3"/>
  <c r="Y63" i="3"/>
  <c r="Y62" i="3"/>
  <c r="Y61" i="3"/>
  <c r="Y60" i="3"/>
  <c r="Y59" i="3"/>
  <c r="G45" i="3"/>
  <c r="G44" i="3"/>
  <c r="G43" i="3"/>
  <c r="G42" i="3"/>
  <c r="G41" i="3"/>
  <c r="G40" i="3"/>
  <c r="G39" i="3"/>
  <c r="L45" i="3"/>
  <c r="K45" i="3"/>
  <c r="J45" i="3"/>
  <c r="I45" i="3"/>
  <c r="L44" i="3"/>
  <c r="K44" i="3"/>
  <c r="J44" i="3"/>
  <c r="I44" i="3"/>
  <c r="L43" i="3"/>
  <c r="K43" i="3"/>
  <c r="J43" i="3"/>
  <c r="I43" i="3"/>
  <c r="L42" i="3"/>
  <c r="K42" i="3"/>
  <c r="J42" i="3"/>
  <c r="I42" i="3"/>
  <c r="L41" i="3"/>
  <c r="K41" i="3"/>
  <c r="J41" i="3"/>
  <c r="I41" i="3"/>
  <c r="L40" i="3"/>
  <c r="K40" i="3"/>
  <c r="J40" i="3"/>
  <c r="I40" i="3"/>
  <c r="L39" i="3"/>
  <c r="K39" i="3"/>
  <c r="J39" i="3"/>
  <c r="I39" i="3"/>
  <c r="E39" i="3"/>
  <c r="V107" i="3"/>
  <c r="U107" i="3"/>
  <c r="R107" i="3"/>
  <c r="P107" i="3"/>
  <c r="O107" i="3"/>
  <c r="N107" i="3"/>
  <c r="V106" i="3"/>
  <c r="U106" i="3"/>
  <c r="R106" i="3"/>
  <c r="P106" i="3"/>
  <c r="O106" i="3"/>
  <c r="N106" i="3"/>
  <c r="V105" i="3"/>
  <c r="U105" i="3"/>
  <c r="R105" i="3"/>
  <c r="P105" i="3"/>
  <c r="O105" i="3"/>
  <c r="N105" i="3"/>
  <c r="V104" i="3"/>
  <c r="U104" i="3"/>
  <c r="R104" i="3"/>
  <c r="P104" i="3"/>
  <c r="O104" i="3"/>
  <c r="N104" i="3"/>
  <c r="V103" i="3"/>
  <c r="U103" i="3"/>
  <c r="R103" i="3"/>
  <c r="P103" i="3"/>
  <c r="O103" i="3"/>
  <c r="N103" i="3"/>
  <c r="V102" i="3"/>
  <c r="U102" i="3"/>
  <c r="R102" i="3"/>
  <c r="P102" i="3"/>
  <c r="O102" i="3"/>
  <c r="N102" i="3"/>
  <c r="V101" i="3"/>
  <c r="U101" i="3"/>
  <c r="R101" i="3"/>
  <c r="Q101" i="3"/>
  <c r="P101" i="3"/>
  <c r="O101" i="3"/>
  <c r="N101" i="3"/>
  <c r="V100" i="3"/>
  <c r="U100" i="3"/>
  <c r="R100" i="3"/>
  <c r="Q100" i="3"/>
  <c r="P100" i="3"/>
  <c r="O100" i="3"/>
  <c r="N100" i="3"/>
  <c r="V99" i="3"/>
  <c r="U99" i="3"/>
  <c r="R99" i="3"/>
  <c r="Q99" i="3"/>
  <c r="P99" i="3"/>
  <c r="O99" i="3"/>
  <c r="N99" i="3"/>
  <c r="V98" i="3"/>
  <c r="U98" i="3"/>
  <c r="R98" i="3"/>
  <c r="Q98" i="3"/>
  <c r="P98" i="3"/>
  <c r="O98" i="3"/>
  <c r="N98" i="3"/>
  <c r="V97" i="3"/>
  <c r="U97" i="3"/>
  <c r="R97" i="3"/>
  <c r="Q97" i="3"/>
  <c r="P97" i="3"/>
  <c r="O97" i="3"/>
  <c r="N97" i="3"/>
  <c r="I17" i="3"/>
  <c r="K115" i="3"/>
  <c r="K114" i="3"/>
  <c r="K113" i="3"/>
  <c r="K112" i="3"/>
  <c r="K111" i="3"/>
  <c r="R27" i="3"/>
  <c r="R26" i="3"/>
  <c r="R25" i="3"/>
  <c r="R24" i="3"/>
  <c r="R23" i="3"/>
  <c r="R22" i="3"/>
  <c r="R21" i="3"/>
  <c r="R20" i="3"/>
  <c r="R19" i="3"/>
  <c r="R18" i="3"/>
  <c r="R17" i="3"/>
  <c r="K161" i="3"/>
  <c r="K162" i="3"/>
  <c r="K163" i="3"/>
  <c r="K164" i="3"/>
  <c r="K165" i="3"/>
  <c r="K166" i="3"/>
  <c r="K167" i="3"/>
  <c r="K168" i="3"/>
  <c r="K169" i="3"/>
  <c r="K170" i="3"/>
  <c r="K171" i="3"/>
  <c r="K255" i="3"/>
  <c r="K254" i="3"/>
  <c r="K253" i="3"/>
  <c r="K252" i="3"/>
  <c r="K251" i="3"/>
  <c r="K250" i="3"/>
  <c r="K249" i="3"/>
  <c r="K248" i="3"/>
  <c r="K247" i="3"/>
  <c r="K246" i="3"/>
  <c r="K245" i="3"/>
  <c r="G255" i="3"/>
  <c r="G254" i="3"/>
  <c r="G253" i="3"/>
  <c r="G252" i="3"/>
  <c r="G251" i="3"/>
  <c r="G250" i="3"/>
  <c r="G249" i="3"/>
  <c r="G248" i="3"/>
  <c r="G247" i="3"/>
  <c r="G246" i="3"/>
  <c r="G245" i="3"/>
  <c r="J255" i="3"/>
  <c r="J254" i="3"/>
  <c r="J253" i="3"/>
  <c r="J252" i="3"/>
  <c r="J251" i="3"/>
  <c r="J250" i="3"/>
  <c r="J249" i="3"/>
  <c r="J248" i="3"/>
  <c r="J247" i="3"/>
  <c r="J246" i="3"/>
  <c r="J245" i="3"/>
  <c r="I246" i="3"/>
  <c r="I247" i="3"/>
  <c r="I248" i="3"/>
  <c r="I249" i="3"/>
  <c r="I250" i="3"/>
  <c r="I251" i="3"/>
  <c r="I252" i="3"/>
  <c r="I253" i="3"/>
  <c r="I254" i="3"/>
  <c r="I255" i="3"/>
  <c r="G143" i="3"/>
  <c r="G142" i="3"/>
  <c r="G141" i="3"/>
  <c r="G140" i="3"/>
  <c r="G139" i="3"/>
  <c r="G138" i="3"/>
  <c r="G137" i="3"/>
  <c r="G136" i="3"/>
  <c r="G135" i="3"/>
  <c r="G134" i="3"/>
  <c r="G133" i="3"/>
  <c r="G171" i="3"/>
  <c r="G170" i="3"/>
  <c r="G169" i="3"/>
  <c r="G168" i="3"/>
  <c r="G167" i="3"/>
  <c r="G166" i="3"/>
  <c r="G165" i="3"/>
  <c r="G164" i="3"/>
  <c r="G163" i="3"/>
  <c r="G162" i="3"/>
  <c r="G161" i="3"/>
  <c r="M13" i="6"/>
  <c r="M12" i="6"/>
  <c r="M11" i="6"/>
  <c r="M10" i="6"/>
  <c r="M9" i="6"/>
  <c r="M8" i="6"/>
  <c r="M7" i="6"/>
  <c r="M6" i="6"/>
  <c r="M5" i="6"/>
  <c r="G65" i="3"/>
  <c r="G64" i="3"/>
  <c r="G63" i="3"/>
  <c r="G62" i="3"/>
  <c r="G61" i="3"/>
  <c r="G60" i="3"/>
  <c r="G59" i="3"/>
  <c r="K13" i="3"/>
  <c r="K12" i="3"/>
  <c r="K11" i="3"/>
  <c r="K10" i="3"/>
  <c r="K9" i="3"/>
  <c r="K8" i="3"/>
  <c r="K7" i="3"/>
  <c r="K6" i="3"/>
  <c r="K5" i="3"/>
  <c r="K4" i="3"/>
  <c r="K3" i="3"/>
  <c r="G241" i="3"/>
  <c r="G240" i="3"/>
  <c r="G239" i="3"/>
  <c r="G238" i="3"/>
  <c r="G237" i="3"/>
  <c r="G236" i="3"/>
  <c r="G235" i="3"/>
  <c r="G234" i="3"/>
  <c r="G233" i="3"/>
  <c r="G232" i="3"/>
  <c r="I241" i="3"/>
  <c r="B241" i="3" s="1"/>
  <c r="F241" i="3" s="1"/>
  <c r="I240" i="3"/>
  <c r="B240" i="3" s="1"/>
  <c r="F240" i="3" s="1"/>
  <c r="I239" i="3"/>
  <c r="I238" i="3"/>
  <c r="I237" i="3"/>
  <c r="D237" i="3" s="1"/>
  <c r="I236" i="3"/>
  <c r="B236" i="3" s="1"/>
  <c r="F236" i="3" s="1"/>
  <c r="I235" i="3"/>
  <c r="C235" i="3" s="1"/>
  <c r="I234" i="3"/>
  <c r="I233" i="3"/>
  <c r="I232" i="3"/>
  <c r="I231" i="3"/>
  <c r="D231" i="3" s="1"/>
  <c r="E241" i="3"/>
  <c r="E240" i="3"/>
  <c r="E239" i="3"/>
  <c r="E238" i="3"/>
  <c r="E237" i="3"/>
  <c r="E236" i="3"/>
  <c r="E235" i="3"/>
  <c r="E234" i="3"/>
  <c r="E233" i="3"/>
  <c r="E232" i="3"/>
  <c r="G231" i="3"/>
  <c r="E231" i="3"/>
  <c r="G227" i="3"/>
  <c r="G226" i="3"/>
  <c r="G225" i="3"/>
  <c r="G224" i="3"/>
  <c r="G223" i="3"/>
  <c r="G222" i="3"/>
  <c r="G221" i="3"/>
  <c r="G220" i="3"/>
  <c r="G219" i="3"/>
  <c r="G218" i="3"/>
  <c r="G217" i="3"/>
  <c r="I227" i="3"/>
  <c r="B227" i="3" s="1"/>
  <c r="F227" i="3" s="1"/>
  <c r="I226" i="3"/>
  <c r="I225" i="3"/>
  <c r="D225" i="3" s="1"/>
  <c r="I224" i="3"/>
  <c r="D224" i="3" s="1"/>
  <c r="I223" i="3"/>
  <c r="D223" i="3" s="1"/>
  <c r="I222" i="3"/>
  <c r="D222" i="3" s="1"/>
  <c r="I221" i="3"/>
  <c r="B221" i="3" s="1"/>
  <c r="F221" i="3" s="1"/>
  <c r="I220" i="3"/>
  <c r="B220" i="3" s="1"/>
  <c r="F220" i="3" s="1"/>
  <c r="I219" i="3"/>
  <c r="C219" i="3" s="1"/>
  <c r="I218" i="3"/>
  <c r="D218" i="3" s="1"/>
  <c r="I217" i="3"/>
  <c r="D217" i="3" s="1"/>
  <c r="E227" i="3"/>
  <c r="E226" i="3"/>
  <c r="E225" i="3"/>
  <c r="E224" i="3"/>
  <c r="E223" i="3"/>
  <c r="E222" i="3"/>
  <c r="E221" i="3"/>
  <c r="E220" i="3"/>
  <c r="E219" i="3"/>
  <c r="E218" i="3"/>
  <c r="E217" i="3"/>
  <c r="X13" i="3"/>
  <c r="X12" i="3"/>
  <c r="X11" i="3"/>
  <c r="X10" i="3"/>
  <c r="X9" i="3"/>
  <c r="X8" i="3"/>
  <c r="X7" i="3"/>
  <c r="X6" i="3"/>
  <c r="X5" i="3"/>
  <c r="X4" i="3"/>
  <c r="X3" i="3"/>
  <c r="AO38" i="5"/>
  <c r="AO37" i="5"/>
  <c r="AN37" i="5"/>
  <c r="AO36" i="5"/>
  <c r="AN36" i="5"/>
  <c r="AO35" i="5"/>
  <c r="AO34" i="5"/>
  <c r="AN34" i="5"/>
  <c r="AO33" i="5"/>
  <c r="AN33" i="5"/>
  <c r="AO28" i="5"/>
  <c r="AN28" i="5"/>
  <c r="AO27" i="5"/>
  <c r="AN27" i="5"/>
  <c r="AO26" i="5"/>
  <c r="AN26" i="5"/>
  <c r="AO25" i="5"/>
  <c r="AN25" i="5"/>
  <c r="AO20" i="5"/>
  <c r="AN20" i="5"/>
  <c r="AO19" i="5"/>
  <c r="AN19" i="5"/>
  <c r="AO18" i="5"/>
  <c r="AN18" i="5"/>
  <c r="AO17" i="5"/>
  <c r="AN17" i="5"/>
  <c r="AO15" i="5"/>
  <c r="AN15" i="5"/>
  <c r="AO14" i="5"/>
  <c r="AN14" i="5"/>
  <c r="AO13" i="5"/>
  <c r="AN13" i="5"/>
  <c r="AO12" i="5"/>
  <c r="AN12" i="5"/>
  <c r="AO11" i="5"/>
  <c r="AN11" i="5"/>
  <c r="AO10" i="5"/>
  <c r="AN10" i="5"/>
  <c r="AO9" i="5"/>
  <c r="AO8" i="5"/>
  <c r="AN8" i="5"/>
  <c r="AO6" i="5"/>
  <c r="AN6" i="5"/>
  <c r="AO5" i="5"/>
  <c r="AN5" i="5"/>
  <c r="AO4" i="5"/>
  <c r="AN4" i="5"/>
  <c r="G157" i="3"/>
  <c r="G156" i="3"/>
  <c r="G155" i="3"/>
  <c r="G154" i="3"/>
  <c r="G153" i="3"/>
  <c r="G152" i="3"/>
  <c r="G151" i="3"/>
  <c r="G150" i="3"/>
  <c r="G149" i="3"/>
  <c r="G148" i="3"/>
  <c r="G147" i="3"/>
  <c r="G27" i="3"/>
  <c r="G26" i="3"/>
  <c r="G25" i="3"/>
  <c r="G24" i="3"/>
  <c r="G23" i="3"/>
  <c r="G22" i="3"/>
  <c r="G21" i="3"/>
  <c r="G20" i="3"/>
  <c r="G19" i="3"/>
  <c r="G18" i="3"/>
  <c r="G17" i="3"/>
  <c r="E27" i="3"/>
  <c r="E26" i="3"/>
  <c r="E25" i="3"/>
  <c r="E24" i="3"/>
  <c r="E23" i="3"/>
  <c r="E22" i="3"/>
  <c r="E21" i="3"/>
  <c r="E20" i="3"/>
  <c r="E19" i="3"/>
  <c r="E18" i="3"/>
  <c r="E17" i="3"/>
  <c r="I27" i="3"/>
  <c r="J27" i="3"/>
  <c r="K27" i="3"/>
  <c r="L27" i="3"/>
  <c r="M27" i="3"/>
  <c r="N27" i="3"/>
  <c r="O27" i="3"/>
  <c r="P27" i="3"/>
  <c r="Q27" i="3"/>
  <c r="V27" i="3"/>
  <c r="S27" i="3"/>
  <c r="U27" i="3"/>
  <c r="W27" i="3"/>
  <c r="K8" i="6"/>
  <c r="H8" i="6"/>
  <c r="I8" i="6" s="1"/>
  <c r="B8" i="6"/>
  <c r="G8" i="6" s="1"/>
  <c r="E213" i="3"/>
  <c r="E212" i="3"/>
  <c r="E211" i="3"/>
  <c r="E210" i="3"/>
  <c r="E209" i="3"/>
  <c r="E208" i="3"/>
  <c r="E207" i="3"/>
  <c r="E206" i="3"/>
  <c r="E205" i="3"/>
  <c r="E204" i="3"/>
  <c r="E203" i="3"/>
  <c r="V7" i="3"/>
  <c r="V6" i="3"/>
  <c r="V5" i="3"/>
  <c r="V4" i="3"/>
  <c r="V3" i="3"/>
  <c r="V13" i="3"/>
  <c r="V12" i="3"/>
  <c r="V11" i="3"/>
  <c r="V10" i="3"/>
  <c r="V9" i="3"/>
  <c r="V8" i="3"/>
  <c r="O13" i="3"/>
  <c r="O12" i="3"/>
  <c r="O11" i="3"/>
  <c r="O10" i="3"/>
  <c r="O9" i="3"/>
  <c r="O8" i="3"/>
  <c r="O7" i="3"/>
  <c r="O6" i="3"/>
  <c r="O5" i="3"/>
  <c r="O4" i="3"/>
  <c r="O3" i="3"/>
  <c r="L8" i="3"/>
  <c r="L7" i="3"/>
  <c r="L6" i="3"/>
  <c r="L5" i="3"/>
  <c r="L4" i="3"/>
  <c r="L3" i="3"/>
  <c r="J13" i="3"/>
  <c r="J12" i="3"/>
  <c r="J11" i="3"/>
  <c r="J10" i="3"/>
  <c r="J9" i="3"/>
  <c r="J8" i="3"/>
  <c r="J7" i="3"/>
  <c r="J6" i="3"/>
  <c r="J5" i="3"/>
  <c r="J4" i="3"/>
  <c r="J3" i="3"/>
  <c r="L143" i="3"/>
  <c r="K143" i="3"/>
  <c r="J143" i="3"/>
  <c r="L142" i="3"/>
  <c r="K142" i="3"/>
  <c r="J142" i="3"/>
  <c r="L141" i="3"/>
  <c r="K141" i="3"/>
  <c r="J141" i="3"/>
  <c r="L140" i="3"/>
  <c r="K140" i="3"/>
  <c r="J140" i="3"/>
  <c r="L139" i="3"/>
  <c r="K139" i="3"/>
  <c r="J139" i="3"/>
  <c r="L138" i="3"/>
  <c r="K138" i="3"/>
  <c r="J138" i="3"/>
  <c r="L137" i="3"/>
  <c r="K137" i="3"/>
  <c r="J137" i="3"/>
  <c r="L136" i="3"/>
  <c r="K136" i="3"/>
  <c r="J136" i="3"/>
  <c r="L135" i="3"/>
  <c r="K135" i="3"/>
  <c r="J135" i="3"/>
  <c r="L134" i="3"/>
  <c r="K134" i="3"/>
  <c r="J134" i="3"/>
  <c r="L133" i="3"/>
  <c r="K133" i="3"/>
  <c r="J133" i="3"/>
  <c r="I143" i="3"/>
  <c r="I142" i="3"/>
  <c r="I141" i="3"/>
  <c r="I140" i="3"/>
  <c r="I139" i="3"/>
  <c r="I138" i="3"/>
  <c r="I137" i="3"/>
  <c r="I136" i="3"/>
  <c r="I135" i="3"/>
  <c r="I134" i="3"/>
  <c r="I133" i="3"/>
  <c r="G111" i="3"/>
  <c r="K13" i="6"/>
  <c r="K12" i="6"/>
  <c r="K11" i="6"/>
  <c r="K10" i="6"/>
  <c r="K9" i="6"/>
  <c r="K7" i="6"/>
  <c r="K6" i="6"/>
  <c r="K5" i="6"/>
  <c r="G79" i="3"/>
  <c r="G78" i="3"/>
  <c r="G77" i="3"/>
  <c r="G76" i="3"/>
  <c r="G75" i="3"/>
  <c r="G74" i="3"/>
  <c r="G73" i="3"/>
  <c r="G72" i="3"/>
  <c r="G71" i="3"/>
  <c r="G70" i="3"/>
  <c r="G69" i="3"/>
  <c r="G93" i="3"/>
  <c r="G92" i="3"/>
  <c r="G91" i="3"/>
  <c r="G90" i="3"/>
  <c r="G89" i="3"/>
  <c r="G88" i="3"/>
  <c r="G87" i="3"/>
  <c r="G86" i="3"/>
  <c r="G85" i="3"/>
  <c r="G84" i="3"/>
  <c r="G83" i="3"/>
  <c r="H13" i="6"/>
  <c r="I13" i="6" s="1"/>
  <c r="H12" i="6"/>
  <c r="I12" i="6" s="1"/>
  <c r="H11" i="6"/>
  <c r="I11" i="6" s="1"/>
  <c r="H10" i="6"/>
  <c r="I10" i="6" s="1"/>
  <c r="H9" i="6"/>
  <c r="I9" i="6" s="1"/>
  <c r="H7" i="6"/>
  <c r="I7" i="6" s="1"/>
  <c r="H6" i="6"/>
  <c r="I6" i="6" s="1"/>
  <c r="H5" i="6"/>
  <c r="I5" i="6" s="1"/>
  <c r="G115" i="3"/>
  <c r="G114" i="3"/>
  <c r="G113" i="3"/>
  <c r="G112" i="3"/>
  <c r="G129" i="3"/>
  <c r="G128" i="3"/>
  <c r="G127" i="3"/>
  <c r="G126" i="3"/>
  <c r="G125" i="3"/>
  <c r="G124" i="3"/>
  <c r="G123" i="3"/>
  <c r="G122" i="3"/>
  <c r="G121" i="3"/>
  <c r="G120" i="3"/>
  <c r="G119" i="3"/>
  <c r="A6" i="9" l="1"/>
  <c r="A5" i="9"/>
  <c r="S9" i="8"/>
  <c r="U9" i="8"/>
  <c r="V9" i="8" s="1"/>
  <c r="U12" i="8"/>
  <c r="V12" i="8" s="1"/>
  <c r="U17" i="8"/>
  <c r="V17" i="8" s="1"/>
  <c r="S15" i="8"/>
  <c r="U16" i="8"/>
  <c r="V16" i="8" s="1"/>
  <c r="S12" i="8"/>
  <c r="S7" i="8"/>
  <c r="S17" i="8"/>
  <c r="U5" i="8"/>
  <c r="V5" i="8" s="1"/>
  <c r="S18" i="8"/>
  <c r="U14" i="8"/>
  <c r="V14" i="8" s="1"/>
  <c r="S5" i="8"/>
  <c r="U18" i="8"/>
  <c r="V18" i="8" s="1"/>
  <c r="S8" i="8"/>
  <c r="S11" i="8"/>
  <c r="S3" i="8"/>
  <c r="S4" i="8"/>
  <c r="U10" i="8"/>
  <c r="V10" i="8" s="1"/>
  <c r="U7" i="8"/>
  <c r="V7" i="8" s="1"/>
  <c r="S14" i="8"/>
  <c r="U15" i="8"/>
  <c r="V15" i="8" s="1"/>
  <c r="S2" i="8"/>
  <c r="U6" i="8"/>
  <c r="V6" i="8" s="1"/>
  <c r="U8" i="8"/>
  <c r="V8" i="8" s="1"/>
  <c r="S13" i="8"/>
  <c r="S19" i="8"/>
  <c r="U3" i="8"/>
  <c r="V3" i="8" s="1"/>
  <c r="S6" i="8"/>
  <c r="U4" i="8"/>
  <c r="V4" i="8" s="1"/>
  <c r="S10" i="8"/>
  <c r="U11" i="8"/>
  <c r="V11" i="8" s="1"/>
  <c r="U13" i="8"/>
  <c r="V13" i="8" s="1"/>
  <c r="U2" i="8"/>
  <c r="V2" i="8" s="1"/>
  <c r="D241" i="3"/>
  <c r="D34" i="3"/>
  <c r="C32" i="3"/>
  <c r="B31" i="3"/>
  <c r="F31" i="3" s="1"/>
  <c r="B225" i="3"/>
  <c r="F225" i="3" s="1"/>
  <c r="C225" i="3"/>
  <c r="B33" i="3"/>
  <c r="F33" i="3" s="1"/>
  <c r="B32" i="3"/>
  <c r="F32" i="3" s="1"/>
  <c r="B235" i="3"/>
  <c r="F235" i="3" s="1"/>
  <c r="C34" i="3"/>
  <c r="B35" i="3"/>
  <c r="F35" i="3" s="1"/>
  <c r="H35" i="3" a="1"/>
  <c r="H35" i="3" s="1"/>
  <c r="H31" i="3" a="1"/>
  <c r="H31" i="3" s="1"/>
  <c r="H29" i="3" s="1"/>
  <c r="H33" i="3" a="1"/>
  <c r="H33" i="3" s="1"/>
  <c r="H32" i="3" a="1"/>
  <c r="H32" i="3" s="1"/>
  <c r="D33" i="3"/>
  <c r="D32" i="3"/>
  <c r="B34" i="3"/>
  <c r="F34" i="3" s="1"/>
  <c r="C33" i="3"/>
  <c r="H34" i="3" a="1"/>
  <c r="H34" i="3" s="1"/>
  <c r="D35" i="3"/>
  <c r="H225" i="3" a="1"/>
  <c r="H225" i="3" s="1"/>
  <c r="C35" i="3"/>
  <c r="D31" i="3"/>
  <c r="C31" i="3"/>
  <c r="C223" i="3"/>
  <c r="C236" i="3"/>
  <c r="H133" i="3" a="1"/>
  <c r="H133" i="3" s="1"/>
  <c r="B255" i="3"/>
  <c r="F255" i="3" s="1"/>
  <c r="B231" i="3"/>
  <c r="F231" i="3" s="1"/>
  <c r="D221" i="3"/>
  <c r="H224" i="3" a="1"/>
  <c r="H224" i="3" s="1"/>
  <c r="H142" i="3" a="1"/>
  <c r="H142" i="3" s="1"/>
  <c r="H143" i="3" a="1"/>
  <c r="H143" i="3" s="1"/>
  <c r="D236" i="3"/>
  <c r="H134" i="3" a="1"/>
  <c r="H134" i="3" s="1"/>
  <c r="H135" i="3" a="1"/>
  <c r="H135" i="3" s="1"/>
  <c r="B222" i="3"/>
  <c r="F222" i="3" s="1"/>
  <c r="H136" i="3" a="1"/>
  <c r="H136" i="3" s="1"/>
  <c r="H240" i="3" a="1"/>
  <c r="H240" i="3" s="1"/>
  <c r="H137" i="3" a="1"/>
  <c r="H137" i="3" s="1"/>
  <c r="C220" i="3"/>
  <c r="H138" i="3" a="1"/>
  <c r="H138" i="3" s="1"/>
  <c r="C241" i="3"/>
  <c r="H139" i="3" a="1"/>
  <c r="H139" i="3" s="1"/>
  <c r="H140" i="3" a="1"/>
  <c r="H140" i="3" s="1"/>
  <c r="D235" i="3"/>
  <c r="H232" i="3" a="1"/>
  <c r="H232" i="3" s="1"/>
  <c r="H141" i="3" a="1"/>
  <c r="H141" i="3" s="1"/>
  <c r="C255" i="3"/>
  <c r="D250" i="3"/>
  <c r="H248" i="3" a="1"/>
  <c r="H248" i="3" s="1"/>
  <c r="C249" i="3"/>
  <c r="B248" i="3"/>
  <c r="F248" i="3" s="1"/>
  <c r="H247" i="3" a="1"/>
  <c r="H247" i="3" s="1"/>
  <c r="C247" i="3"/>
  <c r="D246" i="3"/>
  <c r="B246" i="3"/>
  <c r="F246" i="3" s="1"/>
  <c r="C246" i="3"/>
  <c r="B247" i="3"/>
  <c r="F247" i="3" s="1"/>
  <c r="D247" i="3"/>
  <c r="D249" i="3"/>
  <c r="H253" i="3" a="1"/>
  <c r="H253" i="3" s="1"/>
  <c r="H249" i="3" a="1"/>
  <c r="H249" i="3" s="1"/>
  <c r="C248" i="3"/>
  <c r="H246" i="3" a="1"/>
  <c r="H246" i="3" s="1"/>
  <c r="D248" i="3"/>
  <c r="D252" i="3"/>
  <c r="H250" i="3" a="1"/>
  <c r="H250" i="3" s="1"/>
  <c r="D255" i="3"/>
  <c r="B251" i="3"/>
  <c r="F251" i="3" s="1"/>
  <c r="B250" i="3"/>
  <c r="F250" i="3" s="1"/>
  <c r="C251" i="3"/>
  <c r="B249" i="3"/>
  <c r="F249" i="3" s="1"/>
  <c r="C250" i="3"/>
  <c r="D251" i="3"/>
  <c r="H255" i="3" a="1"/>
  <c r="H255" i="3" s="1"/>
  <c r="D227" i="3"/>
  <c r="H231" i="3" a="1"/>
  <c r="H231" i="3" s="1"/>
  <c r="B27" i="3"/>
  <c r="F27" i="3" s="1"/>
  <c r="B237" i="3"/>
  <c r="F237" i="3" s="1"/>
  <c r="H235" i="3" a="1"/>
  <c r="H235" i="3" s="1"/>
  <c r="H236" i="3" a="1"/>
  <c r="H236" i="3" s="1"/>
  <c r="H237" i="3" a="1"/>
  <c r="H237" i="3" s="1"/>
  <c r="H222" i="3" a="1"/>
  <c r="H222" i="3" s="1"/>
  <c r="H238" i="3" a="1"/>
  <c r="H238" i="3" s="1"/>
  <c r="H239" i="3" a="1"/>
  <c r="H239" i="3" s="1"/>
  <c r="H217" i="3" a="1"/>
  <c r="H217" i="3" s="1"/>
  <c r="H215" i="3" s="1"/>
  <c r="C217" i="3"/>
  <c r="B219" i="3"/>
  <c r="F219" i="3" s="1"/>
  <c r="H219" i="3" a="1"/>
  <c r="H219" i="3" s="1"/>
  <c r="D219" i="3"/>
  <c r="B217" i="3"/>
  <c r="F217" i="3" s="1"/>
  <c r="H218" i="3" a="1"/>
  <c r="H218" i="3" s="1"/>
  <c r="H220" i="3" a="1"/>
  <c r="H220" i="3" s="1"/>
  <c r="H234" i="3" a="1"/>
  <c r="H234" i="3" s="1"/>
  <c r="H233" i="3" a="1"/>
  <c r="H233" i="3" s="1"/>
  <c r="B234" i="3"/>
  <c r="F234" i="3" s="1"/>
  <c r="H241" i="3" a="1"/>
  <c r="H241" i="3" s="1"/>
  <c r="D234" i="3"/>
  <c r="C234" i="3"/>
  <c r="B233" i="3"/>
  <c r="F233" i="3" s="1"/>
  <c r="C240" i="3"/>
  <c r="B239" i="3"/>
  <c r="F239" i="3" s="1"/>
  <c r="D240" i="3"/>
  <c r="C233" i="3"/>
  <c r="C239" i="3"/>
  <c r="B232" i="3"/>
  <c r="F232" i="3" s="1"/>
  <c r="D233" i="3"/>
  <c r="B238" i="3"/>
  <c r="F238" i="3" s="1"/>
  <c r="D239" i="3"/>
  <c r="C232" i="3"/>
  <c r="C238" i="3"/>
  <c r="D232" i="3"/>
  <c r="D238" i="3"/>
  <c r="C231" i="3"/>
  <c r="C237" i="3"/>
  <c r="E8" i="6"/>
  <c r="H223" i="3" a="1"/>
  <c r="H223" i="3" s="1"/>
  <c r="H226" i="3" a="1"/>
  <c r="H226" i="3" s="1"/>
  <c r="B223" i="3"/>
  <c r="F223" i="3" s="1"/>
  <c r="B226" i="3"/>
  <c r="F226" i="3" s="1"/>
  <c r="C226" i="3"/>
  <c r="C221" i="3"/>
  <c r="C227" i="3"/>
  <c r="D220" i="3"/>
  <c r="D226" i="3"/>
  <c r="B218" i="3"/>
  <c r="F218" i="3" s="1"/>
  <c r="H221" i="3" a="1"/>
  <c r="H221" i="3" s="1"/>
  <c r="B224" i="3"/>
  <c r="F224" i="3" s="1"/>
  <c r="H227" i="3" a="1"/>
  <c r="H227" i="3" s="1"/>
  <c r="C218" i="3"/>
  <c r="C224" i="3"/>
  <c r="C222" i="3"/>
  <c r="D27" i="3"/>
  <c r="H27" i="3" a="1"/>
  <c r="H27" i="3" s="1"/>
  <c r="C27" i="3"/>
  <c r="C8" i="6"/>
  <c r="D8" i="6"/>
  <c r="F8" i="6"/>
  <c r="H229" i="3" l="1"/>
  <c r="H131" i="3"/>
  <c r="Z14" i="8"/>
  <c r="W14" i="8"/>
  <c r="X14" i="8"/>
  <c r="X8" i="8"/>
  <c r="Z8" i="8"/>
  <c r="W8" i="8"/>
  <c r="X2" i="8"/>
  <c r="Z2" i="8"/>
  <c r="W2" i="8"/>
  <c r="W15" i="8"/>
  <c r="Z15" i="8"/>
  <c r="X15" i="8"/>
  <c r="W5" i="8"/>
  <c r="X5" i="8"/>
  <c r="Z5" i="8"/>
  <c r="Z13" i="8"/>
  <c r="X13" i="8"/>
  <c r="W13" i="8"/>
  <c r="Z9" i="8"/>
  <c r="X9" i="8"/>
  <c r="W9" i="8"/>
  <c r="Z6" i="8"/>
  <c r="X6" i="8"/>
  <c r="W6" i="8"/>
  <c r="X11" i="8"/>
  <c r="W11" i="8"/>
  <c r="Z11" i="8"/>
  <c r="X7" i="8"/>
  <c r="Z7" i="8"/>
  <c r="W7" i="8"/>
  <c r="Z10" i="8"/>
  <c r="X10" i="8"/>
  <c r="W10" i="8"/>
  <c r="W4" i="8"/>
  <c r="X4" i="8"/>
  <c r="Z4" i="8"/>
  <c r="W16" i="8"/>
  <c r="X16" i="8"/>
  <c r="Z16" i="8"/>
  <c r="W18" i="8"/>
  <c r="X18" i="8"/>
  <c r="Z18" i="8"/>
  <c r="W3" i="8"/>
  <c r="X3" i="8"/>
  <c r="Z3" i="8"/>
  <c r="W17" i="8"/>
  <c r="X17" i="8"/>
  <c r="Z17" i="8"/>
  <c r="X12" i="8"/>
  <c r="W12" i="8"/>
  <c r="Z12" i="8"/>
  <c r="M18" i="6"/>
  <c r="B252" i="3"/>
  <c r="F252" i="3" s="1"/>
  <c r="C253" i="3"/>
  <c r="H252" i="3" a="1"/>
  <c r="H252" i="3" s="1"/>
  <c r="D253" i="3"/>
  <c r="C252" i="3"/>
  <c r="B253" i="3"/>
  <c r="F253" i="3" s="1"/>
  <c r="H251" i="3" a="1"/>
  <c r="H251" i="3" s="1"/>
  <c r="C254" i="3"/>
  <c r="D254" i="3"/>
  <c r="B254" i="3"/>
  <c r="F254" i="3" s="1"/>
  <c r="H254" i="3" a="1"/>
  <c r="H254" i="3" s="1"/>
  <c r="F228" i="3"/>
  <c r="D17" i="6"/>
  <c r="B242" i="3"/>
  <c r="F242" i="3"/>
  <c r="F229" i="3"/>
  <c r="E229" i="3"/>
  <c r="F215" i="3"/>
  <c r="E215" i="3"/>
  <c r="B228" i="3"/>
  <c r="E18" i="6"/>
  <c r="AZ37" i="5"/>
  <c r="AZ36" i="5"/>
  <c r="AZ34" i="5"/>
  <c r="AZ33" i="5"/>
  <c r="AZ28" i="5"/>
  <c r="AZ27" i="5"/>
  <c r="AZ26" i="5"/>
  <c r="AZ25" i="5"/>
  <c r="AZ20" i="5"/>
  <c r="AZ19" i="5"/>
  <c r="AZ18" i="5"/>
  <c r="AZ17" i="5"/>
  <c r="AW37" i="5"/>
  <c r="AW36" i="5"/>
  <c r="AW34" i="5"/>
  <c r="AW33" i="5"/>
  <c r="AW28" i="5"/>
  <c r="AW27" i="5"/>
  <c r="AW26" i="5"/>
  <c r="AW25" i="5"/>
  <c r="AW20" i="5"/>
  <c r="AW19" i="5"/>
  <c r="AW18" i="5"/>
  <c r="AW17" i="5"/>
  <c r="J4" i="5" l="1"/>
  <c r="AT3" i="5"/>
  <c r="AT41" i="5"/>
  <c r="AT40" i="5"/>
  <c r="AT39" i="5"/>
  <c r="AT38" i="5"/>
  <c r="AT37" i="5"/>
  <c r="AT36" i="5"/>
  <c r="AT35" i="5"/>
  <c r="AT34" i="5"/>
  <c r="AT33" i="5"/>
  <c r="AT32" i="5"/>
  <c r="AT31" i="5"/>
  <c r="AT30" i="5"/>
  <c r="AT29" i="5"/>
  <c r="AT28" i="5"/>
  <c r="AT27" i="5"/>
  <c r="AT26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G213" i="3" l="1"/>
  <c r="G212" i="3"/>
  <c r="G211" i="3"/>
  <c r="G210" i="3"/>
  <c r="G209" i="3"/>
  <c r="G208" i="3"/>
  <c r="G207" i="3"/>
  <c r="G206" i="3"/>
  <c r="G205" i="3"/>
  <c r="G204" i="3"/>
  <c r="G203" i="3"/>
  <c r="G107" i="3"/>
  <c r="G106" i="3"/>
  <c r="G105" i="3"/>
  <c r="G104" i="3"/>
  <c r="G103" i="3"/>
  <c r="G102" i="3"/>
  <c r="G101" i="3"/>
  <c r="G100" i="3"/>
  <c r="G99" i="3"/>
  <c r="G98" i="3"/>
  <c r="G97" i="3"/>
  <c r="G55" i="3"/>
  <c r="G54" i="3"/>
  <c r="G53" i="3"/>
  <c r="G52" i="3"/>
  <c r="G51" i="3"/>
  <c r="G50" i="3"/>
  <c r="G49" i="3"/>
  <c r="G13" i="3"/>
  <c r="G12" i="3"/>
  <c r="G11" i="3"/>
  <c r="G10" i="3"/>
  <c r="G9" i="3"/>
  <c r="G8" i="3"/>
  <c r="G7" i="3"/>
  <c r="G6" i="3"/>
  <c r="G5" i="3"/>
  <c r="G4" i="3"/>
  <c r="G3" i="3"/>
  <c r="L37" i="5"/>
  <c r="L36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5" i="5"/>
  <c r="L14" i="5"/>
  <c r="L13" i="5"/>
  <c r="L12" i="5"/>
  <c r="L11" i="5"/>
  <c r="L10" i="5"/>
  <c r="L9" i="5"/>
  <c r="L8" i="5"/>
  <c r="L7" i="5"/>
  <c r="L6" i="5"/>
  <c r="L5" i="5"/>
  <c r="L4" i="5"/>
  <c r="J214" i="3"/>
  <c r="AC39" i="5"/>
  <c r="AC38" i="5"/>
  <c r="AB38" i="5"/>
  <c r="AC37" i="5"/>
  <c r="AB37" i="5"/>
  <c r="AC36" i="5"/>
  <c r="AB36" i="5"/>
  <c r="AC35" i="5"/>
  <c r="AB35" i="5"/>
  <c r="AC34" i="5"/>
  <c r="AB34" i="5"/>
  <c r="AC33" i="5"/>
  <c r="AB33" i="5"/>
  <c r="AC32" i="5"/>
  <c r="AB32" i="5"/>
  <c r="AC31" i="5"/>
  <c r="AB31" i="5"/>
  <c r="AC30" i="5"/>
  <c r="AB30" i="5"/>
  <c r="AC29" i="5"/>
  <c r="AB29" i="5"/>
  <c r="AC28" i="5"/>
  <c r="AB28" i="5"/>
  <c r="AC27" i="5"/>
  <c r="AB27" i="5"/>
  <c r="AC26" i="5"/>
  <c r="AB26" i="5"/>
  <c r="AC25" i="5"/>
  <c r="AB25" i="5"/>
  <c r="AC24" i="5"/>
  <c r="AB24" i="5"/>
  <c r="AC23" i="5"/>
  <c r="AB23" i="5"/>
  <c r="AC22" i="5"/>
  <c r="AB22" i="5"/>
  <c r="AC21" i="5"/>
  <c r="AB21" i="5"/>
  <c r="AC20" i="5"/>
  <c r="AB20" i="5"/>
  <c r="AC19" i="5"/>
  <c r="AB19" i="5"/>
  <c r="AC18" i="5"/>
  <c r="AB18" i="5"/>
  <c r="AC17" i="5"/>
  <c r="AB17" i="5"/>
  <c r="AC15" i="5"/>
  <c r="AB15" i="5"/>
  <c r="AC14" i="5"/>
  <c r="AB14" i="5"/>
  <c r="AC13" i="5"/>
  <c r="AB13" i="5"/>
  <c r="AC12" i="5"/>
  <c r="AB12" i="5"/>
  <c r="AC11" i="5"/>
  <c r="AB11" i="5"/>
  <c r="AC10" i="5"/>
  <c r="AB10" i="5"/>
  <c r="AC9" i="5"/>
  <c r="AB9" i="5"/>
  <c r="AC8" i="5"/>
  <c r="AB8" i="5"/>
  <c r="AC7" i="5"/>
  <c r="AB7" i="5"/>
  <c r="AC6" i="5"/>
  <c r="AB6" i="5"/>
  <c r="AC5" i="5"/>
  <c r="AB5" i="5"/>
  <c r="AC4" i="5"/>
  <c r="AB4" i="5"/>
  <c r="AM38" i="5"/>
  <c r="AM37" i="5"/>
  <c r="AL37" i="5"/>
  <c r="AM36" i="5"/>
  <c r="AL36" i="5"/>
  <c r="AM35" i="5"/>
  <c r="AM34" i="5"/>
  <c r="AL34" i="5"/>
  <c r="AM33" i="5"/>
  <c r="AL33" i="5"/>
  <c r="AM28" i="5"/>
  <c r="AL28" i="5"/>
  <c r="AM27" i="5"/>
  <c r="AL27" i="5"/>
  <c r="AM26" i="5"/>
  <c r="AL26" i="5"/>
  <c r="AM25" i="5"/>
  <c r="AL25" i="5"/>
  <c r="AR25" i="5" s="1"/>
  <c r="AM20" i="5"/>
  <c r="AL20" i="5"/>
  <c r="AM19" i="5"/>
  <c r="AL19" i="5"/>
  <c r="AM18" i="5"/>
  <c r="AL18" i="5"/>
  <c r="AM17" i="5"/>
  <c r="AL17" i="5"/>
  <c r="AM15" i="5"/>
  <c r="AL15" i="5"/>
  <c r="AM14" i="5"/>
  <c r="AL14" i="5"/>
  <c r="AM13" i="5"/>
  <c r="AL13" i="5"/>
  <c r="AM12" i="5"/>
  <c r="AL12" i="5"/>
  <c r="AM11" i="5"/>
  <c r="AL11" i="5"/>
  <c r="AM10" i="5"/>
  <c r="AL10" i="5"/>
  <c r="AM9" i="5"/>
  <c r="AM8" i="5"/>
  <c r="AL8" i="5"/>
  <c r="AM6" i="5"/>
  <c r="AS6" i="5" s="1"/>
  <c r="AL6" i="5"/>
  <c r="AM5" i="5"/>
  <c r="AS5" i="5" s="1"/>
  <c r="AL5" i="5"/>
  <c r="AM4" i="5"/>
  <c r="AL4" i="5"/>
  <c r="V65" i="3"/>
  <c r="V64" i="3"/>
  <c r="V63" i="3"/>
  <c r="V62" i="3"/>
  <c r="V61" i="3"/>
  <c r="V60" i="3"/>
  <c r="V59" i="3"/>
  <c r="U65" i="3"/>
  <c r="U64" i="3"/>
  <c r="U63" i="3"/>
  <c r="U62" i="3"/>
  <c r="U61" i="3"/>
  <c r="U60" i="3"/>
  <c r="U59" i="3"/>
  <c r="M79" i="3"/>
  <c r="M78" i="3"/>
  <c r="M77" i="3"/>
  <c r="M76" i="3"/>
  <c r="M75" i="3"/>
  <c r="M74" i="3"/>
  <c r="M73" i="3"/>
  <c r="M72" i="3"/>
  <c r="M71" i="3"/>
  <c r="K213" i="3"/>
  <c r="K212" i="3"/>
  <c r="K211" i="3"/>
  <c r="K210" i="3"/>
  <c r="K209" i="3"/>
  <c r="K208" i="3"/>
  <c r="K207" i="3"/>
  <c r="K206" i="3"/>
  <c r="K205" i="3"/>
  <c r="K204" i="3"/>
  <c r="K203" i="3"/>
  <c r="K37" i="5"/>
  <c r="K36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5" i="5"/>
  <c r="K14" i="5"/>
  <c r="K13" i="5"/>
  <c r="K12" i="5"/>
  <c r="K11" i="5"/>
  <c r="K10" i="5"/>
  <c r="K9" i="5"/>
  <c r="K8" i="5"/>
  <c r="K7" i="5"/>
  <c r="K6" i="5"/>
  <c r="K5" i="5"/>
  <c r="K4" i="5"/>
  <c r="J37" i="5"/>
  <c r="J36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5" i="5"/>
  <c r="J14" i="5"/>
  <c r="J13" i="5"/>
  <c r="J12" i="5"/>
  <c r="J11" i="5"/>
  <c r="J10" i="5"/>
  <c r="J9" i="5"/>
  <c r="J8" i="5"/>
  <c r="J7" i="5"/>
  <c r="J6" i="5"/>
  <c r="J5" i="5"/>
  <c r="AR13" i="5" l="1"/>
  <c r="AR20" i="5"/>
  <c r="AS25" i="5"/>
  <c r="AR37" i="5"/>
  <c r="AR10" i="5"/>
  <c r="AR17" i="5"/>
  <c r="AS10" i="5"/>
  <c r="AS17" i="5"/>
  <c r="AR28" i="5"/>
  <c r="AR33" i="5"/>
  <c r="AS13" i="5"/>
  <c r="AR19" i="5"/>
  <c r="AR27" i="5"/>
  <c r="AS9" i="5"/>
  <c r="AS37" i="5"/>
  <c r="AS15" i="5"/>
  <c r="AS20" i="5"/>
  <c r="AS18" i="5"/>
  <c r="AR14" i="5"/>
  <c r="AR4" i="5"/>
  <c r="AR8" i="5"/>
  <c r="AS11" i="5"/>
  <c r="AS26" i="5"/>
  <c r="AR36" i="5"/>
  <c r="AS14" i="5"/>
  <c r="AS28" i="5"/>
  <c r="AR12" i="5"/>
  <c r="AS4" i="5"/>
  <c r="AS12" i="5"/>
  <c r="AR34" i="5"/>
  <c r="AS27" i="5"/>
  <c r="AR11" i="5"/>
  <c r="AR26" i="5"/>
  <c r="AS19" i="5"/>
  <c r="AS8" i="5"/>
  <c r="AS33" i="5"/>
  <c r="AR5" i="5"/>
  <c r="AR18" i="5"/>
  <c r="AS34" i="5"/>
  <c r="AR15" i="5"/>
  <c r="AS36" i="5"/>
  <c r="AR6" i="5"/>
  <c r="AE15" i="5"/>
  <c r="AQ15" i="5" s="1"/>
  <c r="AD15" i="5"/>
  <c r="AP15" i="5" s="1"/>
  <c r="AE14" i="5"/>
  <c r="AQ14" i="5" s="1"/>
  <c r="AD14" i="5"/>
  <c r="AP14" i="5" s="1"/>
  <c r="AE13" i="5"/>
  <c r="AQ13" i="5" s="1"/>
  <c r="AD13" i="5"/>
  <c r="AP13" i="5" s="1"/>
  <c r="AE12" i="5"/>
  <c r="AQ12" i="5" s="1"/>
  <c r="AD12" i="5"/>
  <c r="AP12" i="5" s="1"/>
  <c r="AE11" i="5"/>
  <c r="AQ11" i="5" s="1"/>
  <c r="AD11" i="5"/>
  <c r="AP11" i="5" s="1"/>
  <c r="AD10" i="5"/>
  <c r="AP10" i="5" s="1"/>
  <c r="AE10" i="5"/>
  <c r="AQ10" i="5" s="1"/>
  <c r="AE9" i="5"/>
  <c r="AQ9" i="5" s="1"/>
  <c r="AD9" i="5"/>
  <c r="AE8" i="5"/>
  <c r="AQ8" i="5" s="1"/>
  <c r="AD8" i="5"/>
  <c r="AP8" i="5" s="1"/>
  <c r="AE7" i="5"/>
  <c r="AQ7" i="5" s="1"/>
  <c r="AD7" i="5"/>
  <c r="AP7" i="5" s="1"/>
  <c r="AE6" i="5"/>
  <c r="AQ6" i="5" s="1"/>
  <c r="AD6" i="5"/>
  <c r="AP6" i="5" s="1"/>
  <c r="AE5" i="5"/>
  <c r="AQ5" i="5" s="1"/>
  <c r="AD5" i="5"/>
  <c r="AP5" i="5" s="1"/>
  <c r="AD4" i="5"/>
  <c r="AP4" i="5" s="1"/>
  <c r="AE4" i="5"/>
  <c r="AQ4" i="5" s="1"/>
  <c r="M37" i="5"/>
  <c r="M36" i="5"/>
  <c r="M34" i="5"/>
  <c r="M33" i="5"/>
  <c r="M28" i="5"/>
  <c r="M27" i="5"/>
  <c r="M26" i="5"/>
  <c r="M25" i="5"/>
  <c r="M20" i="5"/>
  <c r="M19" i="5"/>
  <c r="M18" i="5"/>
  <c r="M17" i="5"/>
  <c r="I59" i="3"/>
  <c r="E40" i="3"/>
  <c r="E41" i="3"/>
  <c r="E42" i="3"/>
  <c r="E43" i="3"/>
  <c r="E44" i="3"/>
  <c r="E45" i="3"/>
  <c r="M46" i="3"/>
  <c r="J171" i="3"/>
  <c r="J170" i="3"/>
  <c r="J169" i="3"/>
  <c r="J168" i="3"/>
  <c r="J167" i="3"/>
  <c r="J166" i="3"/>
  <c r="J165" i="3"/>
  <c r="J164" i="3"/>
  <c r="J163" i="3"/>
  <c r="N39" i="3"/>
  <c r="H39" i="3" s="1" a="1"/>
  <c r="H39" i="3" s="1"/>
  <c r="L79" i="3"/>
  <c r="L78" i="3"/>
  <c r="L77" i="3"/>
  <c r="L76" i="3"/>
  <c r="L75" i="3"/>
  <c r="L74" i="3"/>
  <c r="L73" i="3"/>
  <c r="L72" i="3"/>
  <c r="L71" i="3"/>
  <c r="L70" i="3"/>
  <c r="L69" i="3"/>
  <c r="K79" i="3"/>
  <c r="K78" i="3"/>
  <c r="K77" i="3"/>
  <c r="K76" i="3"/>
  <c r="K75" i="3"/>
  <c r="K74" i="3"/>
  <c r="K73" i="3"/>
  <c r="K72" i="3"/>
  <c r="K71" i="3"/>
  <c r="K70" i="3"/>
  <c r="K69" i="3"/>
  <c r="X56" i="3"/>
  <c r="I213" i="3"/>
  <c r="H213" i="3" s="1" a="1"/>
  <c r="H213" i="3" s="1"/>
  <c r="I212" i="3"/>
  <c r="H212" i="3" s="1" a="1"/>
  <c r="H212" i="3" s="1"/>
  <c r="I211" i="3"/>
  <c r="D211" i="3" s="1"/>
  <c r="I210" i="3"/>
  <c r="H210" i="3" s="1" a="1"/>
  <c r="H210" i="3" s="1"/>
  <c r="I209" i="3"/>
  <c r="D209" i="3" s="1"/>
  <c r="I208" i="3"/>
  <c r="H208" i="3" s="1" a="1"/>
  <c r="H208" i="3" s="1"/>
  <c r="I207" i="3"/>
  <c r="H207" i="3" s="1" a="1"/>
  <c r="H207" i="3" s="1"/>
  <c r="I206" i="3"/>
  <c r="D206" i="3" s="1"/>
  <c r="I205" i="3"/>
  <c r="H205" i="3" s="1" a="1"/>
  <c r="H205" i="3" s="1"/>
  <c r="I204" i="3"/>
  <c r="B204" i="3" s="1"/>
  <c r="F204" i="3" s="1"/>
  <c r="I203" i="3"/>
  <c r="H203" i="3" s="1" a="1"/>
  <c r="H203" i="3" s="1"/>
  <c r="E93" i="3"/>
  <c r="E92" i="3"/>
  <c r="E91" i="3"/>
  <c r="E90" i="3"/>
  <c r="E89" i="3"/>
  <c r="E88" i="3"/>
  <c r="E87" i="3"/>
  <c r="E86" i="3"/>
  <c r="E85" i="3"/>
  <c r="E84" i="3"/>
  <c r="E83" i="3"/>
  <c r="L90" i="3"/>
  <c r="K90" i="3"/>
  <c r="J90" i="3"/>
  <c r="J93" i="3"/>
  <c r="J92" i="3"/>
  <c r="J91" i="3"/>
  <c r="J89" i="3"/>
  <c r="J88" i="3"/>
  <c r="J87" i="3"/>
  <c r="J86" i="3"/>
  <c r="J85" i="3"/>
  <c r="J84" i="3"/>
  <c r="J83" i="3"/>
  <c r="W53" i="3"/>
  <c r="W52" i="3"/>
  <c r="W51" i="3"/>
  <c r="W50" i="3"/>
  <c r="W49" i="3"/>
  <c r="T65" i="3"/>
  <c r="T64" i="3"/>
  <c r="T63" i="3"/>
  <c r="T62" i="3"/>
  <c r="T61" i="3"/>
  <c r="T60" i="3"/>
  <c r="T59" i="3"/>
  <c r="W13" i="3"/>
  <c r="W12" i="3"/>
  <c r="W11" i="3"/>
  <c r="W10" i="3"/>
  <c r="W9" i="3"/>
  <c r="W8" i="3"/>
  <c r="W7" i="3"/>
  <c r="W6" i="3"/>
  <c r="W4" i="3"/>
  <c r="W3" i="3"/>
  <c r="W5" i="3"/>
  <c r="R65" i="3"/>
  <c r="R64" i="3"/>
  <c r="R63" i="3"/>
  <c r="R62" i="3"/>
  <c r="R61" i="3"/>
  <c r="R60" i="3"/>
  <c r="R59" i="3"/>
  <c r="V55" i="3"/>
  <c r="V54" i="3"/>
  <c r="V53" i="3"/>
  <c r="V52" i="3"/>
  <c r="V51" i="3"/>
  <c r="V50" i="3"/>
  <c r="V49" i="3"/>
  <c r="R17" i="7"/>
  <c r="R12" i="7"/>
  <c r="R15" i="7"/>
  <c r="R16" i="7"/>
  <c r="R11" i="7"/>
  <c r="R13" i="7"/>
  <c r="R3" i="7"/>
  <c r="R14" i="7"/>
  <c r="R7" i="7"/>
  <c r="R5" i="7"/>
  <c r="R8" i="7"/>
  <c r="R6" i="7"/>
  <c r="R10" i="7"/>
  <c r="R9" i="7"/>
  <c r="R4" i="7"/>
  <c r="AE39" i="5"/>
  <c r="AE38" i="5"/>
  <c r="AV38" i="5" s="1"/>
  <c r="AY38" i="5" s="1"/>
  <c r="AD38" i="5"/>
  <c r="AU38" i="5" s="1"/>
  <c r="AX38" i="5" s="1"/>
  <c r="AE37" i="5"/>
  <c r="AQ37" i="5" s="1"/>
  <c r="AD37" i="5"/>
  <c r="AP37" i="5" s="1"/>
  <c r="AE36" i="5"/>
  <c r="AQ36" i="5" s="1"/>
  <c r="AD36" i="5"/>
  <c r="AP36" i="5" s="1"/>
  <c r="AE35" i="5"/>
  <c r="AV35" i="5" s="1"/>
  <c r="AY35" i="5" s="1"/>
  <c r="AD35" i="5"/>
  <c r="AU35" i="5" s="1"/>
  <c r="AX35" i="5" s="1"/>
  <c r="AE34" i="5"/>
  <c r="AQ34" i="5" s="1"/>
  <c r="AD34" i="5"/>
  <c r="AP34" i="5" s="1"/>
  <c r="AE33" i="5"/>
  <c r="AQ33" i="5" s="1"/>
  <c r="AD33" i="5"/>
  <c r="AP33" i="5" s="1"/>
  <c r="AE32" i="5"/>
  <c r="AQ32" i="5" s="1"/>
  <c r="AD32" i="5"/>
  <c r="AP32" i="5" s="1"/>
  <c r="AE31" i="5"/>
  <c r="AQ31" i="5" s="1"/>
  <c r="AD31" i="5"/>
  <c r="AP31" i="5" s="1"/>
  <c r="AE30" i="5"/>
  <c r="AQ30" i="5" s="1"/>
  <c r="AD30" i="5"/>
  <c r="AP30" i="5" s="1"/>
  <c r="AE29" i="5"/>
  <c r="AQ29" i="5" s="1"/>
  <c r="AD29" i="5"/>
  <c r="AP29" i="5" s="1"/>
  <c r="AE28" i="5"/>
  <c r="AQ28" i="5" s="1"/>
  <c r="AD28" i="5"/>
  <c r="AP28" i="5" s="1"/>
  <c r="AE27" i="5"/>
  <c r="AQ27" i="5" s="1"/>
  <c r="AD27" i="5"/>
  <c r="AP27" i="5" s="1"/>
  <c r="AE26" i="5"/>
  <c r="AQ26" i="5" s="1"/>
  <c r="AD26" i="5"/>
  <c r="AP26" i="5" s="1"/>
  <c r="AE25" i="5"/>
  <c r="AQ25" i="5" s="1"/>
  <c r="AD25" i="5"/>
  <c r="AP25" i="5" s="1"/>
  <c r="AE24" i="5"/>
  <c r="AQ24" i="5" s="1"/>
  <c r="AD24" i="5"/>
  <c r="AP24" i="5" s="1"/>
  <c r="AE23" i="5"/>
  <c r="AQ23" i="5" s="1"/>
  <c r="AD23" i="5"/>
  <c r="AP23" i="5" s="1"/>
  <c r="AE22" i="5"/>
  <c r="AQ22" i="5" s="1"/>
  <c r="AD22" i="5"/>
  <c r="AE21" i="5"/>
  <c r="AQ21" i="5" s="1"/>
  <c r="AD21" i="5"/>
  <c r="AP21" i="5" s="1"/>
  <c r="AE20" i="5"/>
  <c r="AQ20" i="5" s="1"/>
  <c r="AD20" i="5"/>
  <c r="AP20" i="5" s="1"/>
  <c r="AE19" i="5"/>
  <c r="AQ19" i="5" s="1"/>
  <c r="AD19" i="5"/>
  <c r="AP19" i="5" s="1"/>
  <c r="AE18" i="5"/>
  <c r="AQ18" i="5" s="1"/>
  <c r="AD18" i="5"/>
  <c r="AP18" i="5" s="1"/>
  <c r="AE17" i="5"/>
  <c r="AQ17" i="5" s="1"/>
  <c r="AD17" i="5"/>
  <c r="AP17" i="5" s="1"/>
  <c r="H90" i="3" l="1" a="1"/>
  <c r="H90" i="3" s="1"/>
  <c r="H209" i="3" a="1"/>
  <c r="H209" i="3" s="1"/>
  <c r="H206" i="3" a="1"/>
  <c r="H206" i="3" s="1"/>
  <c r="H204" i="3" a="1"/>
  <c r="H204" i="3" s="1"/>
  <c r="H201" i="3" s="1"/>
  <c r="H211" i="3" a="1"/>
  <c r="H211" i="3" s="1"/>
  <c r="AU10" i="5"/>
  <c r="AX10" i="5" s="1"/>
  <c r="AV25" i="5"/>
  <c r="AY25" i="5" s="1"/>
  <c r="AV36" i="5"/>
  <c r="AY36" i="5" s="1"/>
  <c r="AV10" i="5"/>
  <c r="AY10" i="5" s="1"/>
  <c r="AV19" i="5"/>
  <c r="AY19" i="5" s="1"/>
  <c r="AV15" i="5"/>
  <c r="AY15" i="5" s="1"/>
  <c r="AU11" i="5"/>
  <c r="AX11" i="5" s="1"/>
  <c r="AV8" i="5"/>
  <c r="AY8" i="5" s="1"/>
  <c r="AU4" i="5"/>
  <c r="AX4" i="5" s="1"/>
  <c r="AV33" i="5"/>
  <c r="AY33" i="5" s="1"/>
  <c r="AV7" i="5"/>
  <c r="AY7" i="5" s="1"/>
  <c r="AV14" i="5"/>
  <c r="AY14" i="5" s="1"/>
  <c r="AV31" i="5"/>
  <c r="AY31" i="5" s="1"/>
  <c r="AU8" i="5"/>
  <c r="AX8" i="5" s="1"/>
  <c r="AU27" i="5"/>
  <c r="AX27" i="5" s="1"/>
  <c r="AU20" i="5"/>
  <c r="AX20" i="5" s="1"/>
  <c r="AU21" i="5"/>
  <c r="AX21" i="5" s="1"/>
  <c r="AV34" i="5"/>
  <c r="AY34" i="5" s="1"/>
  <c r="AU36" i="5"/>
  <c r="AX36" i="5" s="1"/>
  <c r="AU7" i="5"/>
  <c r="AX7" i="5" s="1"/>
  <c r="AV22" i="5"/>
  <c r="AY22" i="5" s="1"/>
  <c r="AV32" i="5"/>
  <c r="AY32" i="5" s="1"/>
  <c r="AV30" i="5"/>
  <c r="AY30" i="5" s="1"/>
  <c r="AV17" i="5"/>
  <c r="AY17" i="5" s="1"/>
  <c r="AP9" i="5"/>
  <c r="AS3" i="5" s="1" a="1"/>
  <c r="AS3" i="5" s="1"/>
  <c r="AU9" i="5"/>
  <c r="AX9" i="5" s="1"/>
  <c r="AU23" i="5"/>
  <c r="AX23" i="5" s="1"/>
  <c r="AV37" i="5"/>
  <c r="AY37" i="5" s="1"/>
  <c r="AV9" i="5"/>
  <c r="AY9" i="5" s="1"/>
  <c r="AV20" i="5"/>
  <c r="AY20" i="5" s="1"/>
  <c r="AV18" i="5"/>
  <c r="AY18" i="5" s="1"/>
  <c r="AV24" i="5"/>
  <c r="AY24" i="5" s="1"/>
  <c r="AU30" i="5"/>
  <c r="AX30" i="5" s="1"/>
  <c r="AV5" i="5"/>
  <c r="AY5" i="5" s="1"/>
  <c r="AP22" i="5"/>
  <c r="AU22" i="5"/>
  <c r="AX22" i="5" s="1"/>
  <c r="AV26" i="5"/>
  <c r="AY26" i="5" s="1"/>
  <c r="AV11" i="5"/>
  <c r="AY11" i="5" s="1"/>
  <c r="AU18" i="5"/>
  <c r="AX18" i="5" s="1"/>
  <c r="AU28" i="5"/>
  <c r="AX28" i="5" s="1"/>
  <c r="AU26" i="5"/>
  <c r="AX26" i="5" s="1"/>
  <c r="AV29" i="5"/>
  <c r="AY29" i="5" s="1"/>
  <c r="AV13" i="5"/>
  <c r="AY13" i="5" s="1"/>
  <c r="AU32" i="5"/>
  <c r="AX32" i="5" s="1"/>
  <c r="AU5" i="5"/>
  <c r="AX5" i="5" s="1"/>
  <c r="AU15" i="5"/>
  <c r="AX15" i="5" s="1"/>
  <c r="AU13" i="5"/>
  <c r="AX13" i="5" s="1"/>
  <c r="AU34" i="5"/>
  <c r="AX34" i="5" s="1"/>
  <c r="AU6" i="5"/>
  <c r="AX6" i="5" s="1"/>
  <c r="AU25" i="5"/>
  <c r="AX25" i="5" s="1"/>
  <c r="AU12" i="5"/>
  <c r="AX12" i="5" s="1"/>
  <c r="AV4" i="5"/>
  <c r="AY4" i="5" s="1"/>
  <c r="AV23" i="5"/>
  <c r="AY23" i="5" s="1"/>
  <c r="AV21" i="5"/>
  <c r="AY21" i="5" s="1"/>
  <c r="AV28" i="5"/>
  <c r="AY28" i="5" s="1"/>
  <c r="AV6" i="5"/>
  <c r="AY6" i="5" s="1"/>
  <c r="AV12" i="5"/>
  <c r="AY12" i="5" s="1"/>
  <c r="AU31" i="5"/>
  <c r="AX31" i="5" s="1"/>
  <c r="AU29" i="5"/>
  <c r="AX29" i="5" s="1"/>
  <c r="AU37" i="5"/>
  <c r="AX37" i="5" s="1"/>
  <c r="AV27" i="5"/>
  <c r="AY27" i="5" s="1"/>
  <c r="AU33" i="5"/>
  <c r="AX33" i="5" s="1"/>
  <c r="AU19" i="5"/>
  <c r="AX19" i="5" s="1"/>
  <c r="AU17" i="5"/>
  <c r="AX17" i="5" s="1"/>
  <c r="AU14" i="5"/>
  <c r="AX14" i="5" s="1"/>
  <c r="AU24" i="5"/>
  <c r="AX24" i="5" s="1"/>
  <c r="C208" i="3"/>
  <c r="D213" i="3"/>
  <c r="D207" i="3"/>
  <c r="D90" i="3"/>
  <c r="C212" i="3"/>
  <c r="D203" i="3"/>
  <c r="D205" i="3"/>
  <c r="B210" i="3"/>
  <c r="F210" i="3" s="1"/>
  <c r="B206" i="3"/>
  <c r="F206" i="3" s="1"/>
  <c r="C206" i="3"/>
  <c r="C210" i="3"/>
  <c r="D208" i="3"/>
  <c r="D210" i="3"/>
  <c r="D212" i="3"/>
  <c r="B208" i="3"/>
  <c r="F208" i="3" s="1"/>
  <c r="B212" i="3"/>
  <c r="F212" i="3" s="1"/>
  <c r="C204" i="3"/>
  <c r="D204" i="3"/>
  <c r="B203" i="3"/>
  <c r="B205" i="3"/>
  <c r="F205" i="3" s="1"/>
  <c r="B207" i="3"/>
  <c r="F207" i="3" s="1"/>
  <c r="B209" i="3"/>
  <c r="F209" i="3" s="1"/>
  <c r="B211" i="3"/>
  <c r="F211" i="3" s="1"/>
  <c r="B213" i="3"/>
  <c r="F213" i="3" s="1"/>
  <c r="C203" i="3"/>
  <c r="C205" i="3"/>
  <c r="C207" i="3"/>
  <c r="C209" i="3"/>
  <c r="C211" i="3"/>
  <c r="C213" i="3"/>
  <c r="B90" i="3"/>
  <c r="F90" i="3" s="1"/>
  <c r="C90" i="3"/>
  <c r="U55" i="3"/>
  <c r="U54" i="3"/>
  <c r="U53" i="3"/>
  <c r="U52" i="3"/>
  <c r="U51" i="3"/>
  <c r="U50" i="3"/>
  <c r="U49" i="3"/>
  <c r="I189" i="3"/>
  <c r="I190" i="3"/>
  <c r="I191" i="3"/>
  <c r="I192" i="3"/>
  <c r="I193" i="3"/>
  <c r="I194" i="3"/>
  <c r="I195" i="3"/>
  <c r="I196" i="3"/>
  <c r="I197" i="3"/>
  <c r="I198" i="3"/>
  <c r="I199" i="3"/>
  <c r="J199" i="3"/>
  <c r="J198" i="3"/>
  <c r="J197" i="3"/>
  <c r="J196" i="3"/>
  <c r="J195" i="3"/>
  <c r="J194" i="3"/>
  <c r="J193" i="3"/>
  <c r="J192" i="3"/>
  <c r="J191" i="3"/>
  <c r="J190" i="3"/>
  <c r="J189" i="3"/>
  <c r="E199" i="3"/>
  <c r="E198" i="3"/>
  <c r="E197" i="3"/>
  <c r="E196" i="3"/>
  <c r="E195" i="3"/>
  <c r="E194" i="3"/>
  <c r="E193" i="3"/>
  <c r="E192" i="3"/>
  <c r="E191" i="3"/>
  <c r="E190" i="3"/>
  <c r="E189" i="3"/>
  <c r="I185" i="3"/>
  <c r="D185" i="3" s="1"/>
  <c r="I184" i="3"/>
  <c r="D184" i="3" s="1"/>
  <c r="I183" i="3"/>
  <c r="I182" i="3"/>
  <c r="B182" i="3" s="1"/>
  <c r="F182" i="3" s="1"/>
  <c r="I181" i="3"/>
  <c r="I180" i="3"/>
  <c r="C180" i="3" s="1"/>
  <c r="I179" i="3"/>
  <c r="D179" i="3" s="1"/>
  <c r="J178" i="3"/>
  <c r="I178" i="3"/>
  <c r="J177" i="3"/>
  <c r="I177" i="3"/>
  <c r="J176" i="3"/>
  <c r="I176" i="3"/>
  <c r="J175" i="3"/>
  <c r="I175" i="3"/>
  <c r="E185" i="3"/>
  <c r="E184" i="3"/>
  <c r="E183" i="3"/>
  <c r="E182" i="3"/>
  <c r="E181" i="3"/>
  <c r="E180" i="3"/>
  <c r="E179" i="3"/>
  <c r="E178" i="3"/>
  <c r="E177" i="3"/>
  <c r="E176" i="3"/>
  <c r="E175" i="3"/>
  <c r="I171" i="3"/>
  <c r="I170" i="3"/>
  <c r="I169" i="3"/>
  <c r="I168" i="3"/>
  <c r="I167" i="3"/>
  <c r="I166" i="3"/>
  <c r="I165" i="3"/>
  <c r="I164" i="3"/>
  <c r="I163" i="3"/>
  <c r="I162" i="3"/>
  <c r="I161" i="3"/>
  <c r="E171" i="3"/>
  <c r="E170" i="3"/>
  <c r="E169" i="3"/>
  <c r="E168" i="3"/>
  <c r="E167" i="3"/>
  <c r="E166" i="3"/>
  <c r="E165" i="3"/>
  <c r="E164" i="3"/>
  <c r="E163" i="3"/>
  <c r="E162" i="3"/>
  <c r="E161" i="3"/>
  <c r="C193" i="3" l="1"/>
  <c r="B189" i="3"/>
  <c r="F189" i="3" s="1"/>
  <c r="D175" i="3"/>
  <c r="D192" i="3"/>
  <c r="A14" i="6"/>
  <c r="D194" i="3"/>
  <c r="D18" i="6"/>
  <c r="B176" i="3"/>
  <c r="F176" i="3" s="1"/>
  <c r="D198" i="3"/>
  <c r="B197" i="3"/>
  <c r="F197" i="3" s="1"/>
  <c r="D195" i="3"/>
  <c r="C192" i="3"/>
  <c r="B178" i="3"/>
  <c r="F178" i="3" s="1"/>
  <c r="D180" i="3"/>
  <c r="B195" i="3"/>
  <c r="F195" i="3" s="1"/>
  <c r="B180" i="3"/>
  <c r="F180" i="3" s="1"/>
  <c r="C195" i="3"/>
  <c r="C199" i="3"/>
  <c r="F203" i="3"/>
  <c r="B214" i="3"/>
  <c r="D199" i="3"/>
  <c r="D197" i="3"/>
  <c r="D190" i="3"/>
  <c r="D191" i="3"/>
  <c r="C197" i="3"/>
  <c r="D196" i="3"/>
  <c r="B192" i="3"/>
  <c r="F192" i="3" s="1"/>
  <c r="C194" i="3"/>
  <c r="D189" i="3"/>
  <c r="B190" i="3"/>
  <c r="F190" i="3" s="1"/>
  <c r="C190" i="3"/>
  <c r="D193" i="3"/>
  <c r="B199" i="3"/>
  <c r="F199" i="3" s="1"/>
  <c r="B194" i="3"/>
  <c r="F194" i="3" s="1"/>
  <c r="C189" i="3"/>
  <c r="B196" i="3"/>
  <c r="F196" i="3" s="1"/>
  <c r="B191" i="3"/>
  <c r="F191" i="3" s="1"/>
  <c r="C196" i="3"/>
  <c r="C191" i="3"/>
  <c r="B198" i="3"/>
  <c r="F198" i="3" s="1"/>
  <c r="B193" i="3"/>
  <c r="F193" i="3" s="1"/>
  <c r="C198" i="3"/>
  <c r="D177" i="3"/>
  <c r="B184" i="3"/>
  <c r="F184" i="3" s="1"/>
  <c r="D181" i="3"/>
  <c r="C184" i="3"/>
  <c r="D183" i="3"/>
  <c r="D176" i="3"/>
  <c r="C182" i="3"/>
  <c r="D182" i="3"/>
  <c r="D178" i="3"/>
  <c r="C178" i="3"/>
  <c r="C176" i="3"/>
  <c r="B175" i="3"/>
  <c r="B177" i="3"/>
  <c r="F177" i="3" s="1"/>
  <c r="B179" i="3"/>
  <c r="F179" i="3" s="1"/>
  <c r="B181" i="3"/>
  <c r="F181" i="3" s="1"/>
  <c r="B183" i="3"/>
  <c r="F183" i="3" s="1"/>
  <c r="B185" i="3"/>
  <c r="F185" i="3" s="1"/>
  <c r="C175" i="3"/>
  <c r="C177" i="3"/>
  <c r="C181" i="3"/>
  <c r="C183" i="3"/>
  <c r="C185" i="3"/>
  <c r="C179" i="3"/>
  <c r="D12" i="1"/>
  <c r="D11" i="1"/>
  <c r="D10" i="1"/>
  <c r="D9" i="1"/>
  <c r="D8" i="1"/>
  <c r="D7" i="1"/>
  <c r="D6" i="1"/>
  <c r="D5" i="1"/>
  <c r="D4" i="1"/>
  <c r="D3" i="1"/>
  <c r="D2" i="1"/>
  <c r="B12" i="1"/>
  <c r="B11" i="1"/>
  <c r="B10" i="1"/>
  <c r="B9" i="1"/>
  <c r="B8" i="1"/>
  <c r="B7" i="1"/>
  <c r="B6" i="1"/>
  <c r="B5" i="1"/>
  <c r="B4" i="1"/>
  <c r="B3" i="1"/>
  <c r="B2" i="1"/>
  <c r="F201" i="3" l="1"/>
  <c r="E201" i="3"/>
  <c r="F214" i="3"/>
  <c r="F187" i="3"/>
  <c r="E187" i="3"/>
  <c r="F200" i="3"/>
  <c r="F175" i="3"/>
  <c r="B186" i="3"/>
  <c r="J157" i="3"/>
  <c r="J156" i="3"/>
  <c r="J155" i="3"/>
  <c r="J154" i="3"/>
  <c r="J153" i="3"/>
  <c r="J152" i="3"/>
  <c r="J151" i="3"/>
  <c r="J150" i="3"/>
  <c r="J149" i="3"/>
  <c r="J148" i="3"/>
  <c r="J147" i="3"/>
  <c r="I157" i="3"/>
  <c r="I156" i="3"/>
  <c r="I155" i="3"/>
  <c r="I154" i="3"/>
  <c r="I153" i="3"/>
  <c r="I152" i="3"/>
  <c r="I151" i="3"/>
  <c r="I150" i="3"/>
  <c r="I149" i="3"/>
  <c r="I148" i="3"/>
  <c r="I147" i="3"/>
  <c r="E157" i="3"/>
  <c r="E156" i="3"/>
  <c r="E155" i="3"/>
  <c r="E154" i="3"/>
  <c r="E153" i="3"/>
  <c r="E152" i="3"/>
  <c r="E151" i="3"/>
  <c r="E150" i="3"/>
  <c r="E149" i="3"/>
  <c r="E148" i="3"/>
  <c r="E147" i="3"/>
  <c r="W26" i="3"/>
  <c r="W25" i="3"/>
  <c r="W24" i="3"/>
  <c r="W23" i="3"/>
  <c r="W22" i="3"/>
  <c r="W21" i="3"/>
  <c r="W20" i="3"/>
  <c r="W19" i="3"/>
  <c r="W18" i="3"/>
  <c r="W17" i="3"/>
  <c r="U26" i="3"/>
  <c r="U25" i="3"/>
  <c r="U24" i="3"/>
  <c r="U23" i="3"/>
  <c r="U22" i="3"/>
  <c r="U21" i="3"/>
  <c r="U20" i="3"/>
  <c r="U19" i="3"/>
  <c r="U18" i="3"/>
  <c r="U17" i="3"/>
  <c r="L18" i="3"/>
  <c r="T28" i="3"/>
  <c r="V26" i="3"/>
  <c r="V25" i="3"/>
  <c r="V24" i="3"/>
  <c r="V23" i="3"/>
  <c r="V22" i="3"/>
  <c r="V21" i="3"/>
  <c r="V20" i="3"/>
  <c r="V19" i="3"/>
  <c r="V18" i="3"/>
  <c r="V17" i="3"/>
  <c r="S26" i="3"/>
  <c r="S25" i="3"/>
  <c r="S24" i="3"/>
  <c r="S23" i="3"/>
  <c r="S22" i="3"/>
  <c r="S21" i="3"/>
  <c r="S20" i="3"/>
  <c r="S19" i="3"/>
  <c r="S18" i="3"/>
  <c r="S17" i="3"/>
  <c r="E143" i="3"/>
  <c r="E142" i="3"/>
  <c r="E141" i="3"/>
  <c r="E140" i="3"/>
  <c r="E139" i="3"/>
  <c r="E138" i="3"/>
  <c r="E137" i="3"/>
  <c r="E136" i="3"/>
  <c r="E135" i="3"/>
  <c r="E134" i="3"/>
  <c r="E133" i="3"/>
  <c r="J79" i="3"/>
  <c r="H79" i="3" s="1" a="1"/>
  <c r="H79" i="3" s="1"/>
  <c r="J78" i="3"/>
  <c r="H78" i="3" s="1" a="1"/>
  <c r="H78" i="3" s="1"/>
  <c r="J77" i="3"/>
  <c r="H77" i="3" s="1" a="1"/>
  <c r="H77" i="3" s="1"/>
  <c r="J76" i="3"/>
  <c r="H76" i="3" s="1" a="1"/>
  <c r="H76" i="3" s="1"/>
  <c r="J75" i="3"/>
  <c r="H75" i="3" s="1" a="1"/>
  <c r="H75" i="3" s="1"/>
  <c r="J74" i="3"/>
  <c r="H74" i="3" s="1" a="1"/>
  <c r="H74" i="3" s="1"/>
  <c r="J73" i="3"/>
  <c r="J72" i="3"/>
  <c r="J71" i="3"/>
  <c r="J70" i="3"/>
  <c r="J69" i="3"/>
  <c r="S55" i="3"/>
  <c r="S54" i="3"/>
  <c r="S53" i="3"/>
  <c r="S52" i="3"/>
  <c r="S51" i="3"/>
  <c r="S50" i="3"/>
  <c r="S49" i="3"/>
  <c r="R55" i="3"/>
  <c r="R54" i="3"/>
  <c r="R53" i="3"/>
  <c r="R52" i="3"/>
  <c r="R51" i="3"/>
  <c r="R50" i="3"/>
  <c r="R49" i="3"/>
  <c r="Q55" i="3"/>
  <c r="Q54" i="3"/>
  <c r="Q53" i="3"/>
  <c r="Q52" i="3"/>
  <c r="Q51" i="3"/>
  <c r="Q50" i="3"/>
  <c r="Q49" i="3"/>
  <c r="P55" i="3"/>
  <c r="P54" i="3"/>
  <c r="P53" i="3"/>
  <c r="P52" i="3"/>
  <c r="P51" i="3"/>
  <c r="P50" i="3"/>
  <c r="P49" i="3"/>
  <c r="O55" i="3"/>
  <c r="O54" i="3"/>
  <c r="O53" i="3"/>
  <c r="O52" i="3"/>
  <c r="O51" i="3"/>
  <c r="O50" i="3"/>
  <c r="O49" i="3"/>
  <c r="J129" i="3"/>
  <c r="J128" i="3"/>
  <c r="J127" i="3"/>
  <c r="J126" i="3"/>
  <c r="J125" i="3"/>
  <c r="J124" i="3"/>
  <c r="J123" i="3"/>
  <c r="J122" i="3"/>
  <c r="J121" i="3"/>
  <c r="J120" i="3"/>
  <c r="J119" i="3"/>
  <c r="Z77" i="5"/>
  <c r="Z76" i="5"/>
  <c r="Z75" i="5"/>
  <c r="Z74" i="5"/>
  <c r="Z73" i="5"/>
  <c r="Z72" i="5"/>
  <c r="Z71" i="5"/>
  <c r="Z70" i="5"/>
  <c r="Z69" i="5"/>
  <c r="Z68" i="5"/>
  <c r="Z67" i="5"/>
  <c r="N45" i="3"/>
  <c r="N44" i="3"/>
  <c r="N43" i="3"/>
  <c r="N42" i="3"/>
  <c r="N41" i="3"/>
  <c r="N40" i="3"/>
  <c r="N53" i="3"/>
  <c r="N52" i="3"/>
  <c r="N51" i="3"/>
  <c r="N50" i="3"/>
  <c r="N49" i="3"/>
  <c r="Q65" i="3"/>
  <c r="Q64" i="3"/>
  <c r="Q63" i="3"/>
  <c r="Q62" i="3"/>
  <c r="Q61" i="3"/>
  <c r="Q60" i="3"/>
  <c r="Q59" i="3"/>
  <c r="M55" i="3"/>
  <c r="M54" i="3"/>
  <c r="M53" i="3"/>
  <c r="M52" i="3"/>
  <c r="M51" i="3"/>
  <c r="M50" i="3"/>
  <c r="M49" i="3"/>
  <c r="P65" i="3"/>
  <c r="P64" i="3"/>
  <c r="P63" i="3"/>
  <c r="P62" i="3"/>
  <c r="P61" i="3"/>
  <c r="P60" i="3"/>
  <c r="P59" i="3"/>
  <c r="O65" i="3"/>
  <c r="N65" i="3"/>
  <c r="I65" i="3"/>
  <c r="O64" i="3"/>
  <c r="N64" i="3"/>
  <c r="I64" i="3"/>
  <c r="O63" i="3"/>
  <c r="N63" i="3"/>
  <c r="I63" i="3"/>
  <c r="O62" i="3"/>
  <c r="N62" i="3"/>
  <c r="I62" i="3"/>
  <c r="O61" i="3"/>
  <c r="N61" i="3"/>
  <c r="I61" i="3"/>
  <c r="O60" i="3"/>
  <c r="N60" i="3"/>
  <c r="I60" i="3"/>
  <c r="O59" i="3"/>
  <c r="N59" i="3"/>
  <c r="C157" i="3" l="1"/>
  <c r="H62" i="3" a="1"/>
  <c r="H62" i="3" s="1"/>
  <c r="D155" i="3"/>
  <c r="D147" i="3"/>
  <c r="H151" i="3" a="1"/>
  <c r="H151" i="3" s="1"/>
  <c r="H155" i="3" a="1"/>
  <c r="H155" i="3" s="1"/>
  <c r="D156" i="3"/>
  <c r="D157" i="3"/>
  <c r="H154" i="3" a="1"/>
  <c r="H154" i="3" s="1"/>
  <c r="H153" i="3" a="1"/>
  <c r="H153" i="3" s="1"/>
  <c r="H157" i="3" a="1"/>
  <c r="H157" i="3" s="1"/>
  <c r="H61" i="3" a="1"/>
  <c r="H61" i="3" s="1"/>
  <c r="H147" i="3" a="1"/>
  <c r="H147" i="3" s="1"/>
  <c r="H63" i="3" a="1"/>
  <c r="H63" i="3" s="1"/>
  <c r="H148" i="3" a="1"/>
  <c r="H148" i="3" s="1"/>
  <c r="H149" i="3" a="1"/>
  <c r="H149" i="3" s="1"/>
  <c r="H59" i="3" a="1"/>
  <c r="H59" i="3" s="1"/>
  <c r="H65" i="3" a="1"/>
  <c r="H65" i="3" s="1"/>
  <c r="D150" i="3"/>
  <c r="H150" i="3" a="1"/>
  <c r="H150" i="3" s="1"/>
  <c r="H60" i="3" a="1"/>
  <c r="H60" i="3" s="1"/>
  <c r="H152" i="3" a="1"/>
  <c r="H152" i="3" s="1"/>
  <c r="H64" i="3" a="1"/>
  <c r="H64" i="3" s="1"/>
  <c r="H156" i="3" a="1"/>
  <c r="H156" i="3" s="1"/>
  <c r="D136" i="3"/>
  <c r="B151" i="3"/>
  <c r="F151" i="3" s="1"/>
  <c r="B152" i="3"/>
  <c r="F152" i="3" s="1"/>
  <c r="D135" i="3"/>
  <c r="C151" i="3"/>
  <c r="D152" i="3"/>
  <c r="C135" i="3"/>
  <c r="C153" i="3"/>
  <c r="D149" i="3"/>
  <c r="D137" i="3"/>
  <c r="D153" i="3"/>
  <c r="B154" i="3"/>
  <c r="F154" i="3" s="1"/>
  <c r="F173" i="3"/>
  <c r="E173" i="3"/>
  <c r="F186" i="3"/>
  <c r="B157" i="3"/>
  <c r="F157" i="3" s="1"/>
  <c r="D148" i="3"/>
  <c r="B147" i="3"/>
  <c r="F147" i="3" s="1"/>
  <c r="C147" i="3"/>
  <c r="D154" i="3"/>
  <c r="B150" i="3"/>
  <c r="F150" i="3" s="1"/>
  <c r="D151" i="3"/>
  <c r="B156" i="3"/>
  <c r="F156" i="3" s="1"/>
  <c r="C150" i="3"/>
  <c r="C156" i="3"/>
  <c r="C152" i="3"/>
  <c r="B149" i="3"/>
  <c r="F149" i="3" s="1"/>
  <c r="B155" i="3"/>
  <c r="F155" i="3" s="1"/>
  <c r="C149" i="3"/>
  <c r="C155" i="3"/>
  <c r="B148" i="3"/>
  <c r="F148" i="3" s="1"/>
  <c r="C148" i="3"/>
  <c r="C154" i="3"/>
  <c r="B153" i="3"/>
  <c r="F153" i="3" s="1"/>
  <c r="D139" i="3"/>
  <c r="B136" i="3"/>
  <c r="F136" i="3" s="1"/>
  <c r="B139" i="3"/>
  <c r="F139" i="3" s="1"/>
  <c r="C138" i="3"/>
  <c r="B133" i="3"/>
  <c r="F133" i="3" s="1"/>
  <c r="C137" i="3"/>
  <c r="D138" i="3"/>
  <c r="D140" i="3"/>
  <c r="D141" i="3"/>
  <c r="C134" i="3"/>
  <c r="D133" i="3"/>
  <c r="D142" i="3"/>
  <c r="D143" i="3"/>
  <c r="D134" i="3"/>
  <c r="B141" i="3"/>
  <c r="F141" i="3" s="1"/>
  <c r="C141" i="3"/>
  <c r="B138" i="3"/>
  <c r="F138" i="3" s="1"/>
  <c r="B135" i="3"/>
  <c r="F135" i="3" s="1"/>
  <c r="B134" i="3"/>
  <c r="F134" i="3" s="1"/>
  <c r="B137" i="3"/>
  <c r="F137" i="3" s="1"/>
  <c r="B140" i="3"/>
  <c r="F140" i="3" s="1"/>
  <c r="B143" i="3"/>
  <c r="F143" i="3" s="1"/>
  <c r="C140" i="3"/>
  <c r="C143" i="3"/>
  <c r="B142" i="3"/>
  <c r="F142" i="3" s="1"/>
  <c r="C142" i="3"/>
  <c r="C133" i="3"/>
  <c r="C136" i="3"/>
  <c r="C139" i="3"/>
  <c r="L55" i="3"/>
  <c r="K55" i="3"/>
  <c r="L54" i="3"/>
  <c r="K54" i="3"/>
  <c r="L53" i="3"/>
  <c r="K53" i="3"/>
  <c r="L52" i="3"/>
  <c r="K52" i="3"/>
  <c r="L51" i="3"/>
  <c r="K51" i="3"/>
  <c r="L50" i="3"/>
  <c r="K50" i="3"/>
  <c r="L49" i="3"/>
  <c r="K49" i="3"/>
  <c r="I73" i="3"/>
  <c r="H73" i="3" s="1" a="1"/>
  <c r="H73" i="3" s="1"/>
  <c r="I72" i="3"/>
  <c r="H72" i="3" s="1" a="1"/>
  <c r="H72" i="3" s="1"/>
  <c r="I71" i="3"/>
  <c r="H71" i="3" s="1" a="1"/>
  <c r="H71" i="3" s="1"/>
  <c r="I70" i="3"/>
  <c r="H70" i="3" s="1" a="1"/>
  <c r="H70" i="3" s="1"/>
  <c r="I69" i="3"/>
  <c r="H69" i="3" s="1" a="1"/>
  <c r="H69" i="3" s="1"/>
  <c r="H67" i="3" s="1"/>
  <c r="J51" i="3"/>
  <c r="U3" i="3"/>
  <c r="J54" i="3"/>
  <c r="J53" i="3"/>
  <c r="J52" i="3"/>
  <c r="E65" i="3"/>
  <c r="E64" i="3"/>
  <c r="E63" i="3"/>
  <c r="E62" i="3"/>
  <c r="E61" i="3"/>
  <c r="E60" i="3"/>
  <c r="E59" i="3"/>
  <c r="I129" i="3"/>
  <c r="I128" i="3"/>
  <c r="I127" i="3"/>
  <c r="I126" i="3"/>
  <c r="I125" i="3"/>
  <c r="I124" i="3"/>
  <c r="I123" i="3"/>
  <c r="C123" i="3" s="1"/>
  <c r="I122" i="3"/>
  <c r="I121" i="3"/>
  <c r="I120" i="3"/>
  <c r="I119" i="3"/>
  <c r="E129" i="3"/>
  <c r="E128" i="3"/>
  <c r="E127" i="3"/>
  <c r="E126" i="3"/>
  <c r="E125" i="3"/>
  <c r="E124" i="3"/>
  <c r="E123" i="3"/>
  <c r="E122" i="3"/>
  <c r="E121" i="3"/>
  <c r="E120" i="3"/>
  <c r="E119" i="3"/>
  <c r="I55" i="3"/>
  <c r="I54" i="3"/>
  <c r="I53" i="3"/>
  <c r="I52" i="3"/>
  <c r="I51" i="3"/>
  <c r="I50" i="3"/>
  <c r="I49" i="3"/>
  <c r="E81" i="5"/>
  <c r="D81" i="5"/>
  <c r="E80" i="5"/>
  <c r="D80" i="5"/>
  <c r="E79" i="5"/>
  <c r="D79" i="5"/>
  <c r="E78" i="5"/>
  <c r="D78" i="5"/>
  <c r="C81" i="5"/>
  <c r="B81" i="5"/>
  <c r="C80" i="5"/>
  <c r="B80" i="5"/>
  <c r="C79" i="5"/>
  <c r="B79" i="5"/>
  <c r="C78" i="5"/>
  <c r="B78" i="5"/>
  <c r="E77" i="5"/>
  <c r="D77" i="5"/>
  <c r="E55" i="3"/>
  <c r="E54" i="3"/>
  <c r="E53" i="3"/>
  <c r="E52" i="3"/>
  <c r="E51" i="3"/>
  <c r="E50" i="3"/>
  <c r="E49" i="3"/>
  <c r="E115" i="3"/>
  <c r="I115" i="3"/>
  <c r="I114" i="3"/>
  <c r="I113" i="3"/>
  <c r="I112" i="3"/>
  <c r="I111" i="3"/>
  <c r="E114" i="3"/>
  <c r="E113" i="3"/>
  <c r="E112" i="3"/>
  <c r="E111" i="3"/>
  <c r="H57" i="3" l="1"/>
  <c r="C17" i="6" s="1"/>
  <c r="H145" i="3"/>
  <c r="H52" i="3" a="1"/>
  <c r="H52" i="3" s="1"/>
  <c r="H50" i="3" a="1"/>
  <c r="H50" i="3" s="1"/>
  <c r="H55" i="3" a="1"/>
  <c r="H55" i="3" s="1"/>
  <c r="G18" i="6"/>
  <c r="H44" i="3" a="1"/>
  <c r="H44" i="3" s="1"/>
  <c r="H49" i="3" a="1"/>
  <c r="H49" i="3" s="1"/>
  <c r="B124" i="3"/>
  <c r="F124" i="3" s="1"/>
  <c r="H124" i="3" a="1"/>
  <c r="H124" i="3" s="1"/>
  <c r="H51" i="3" a="1"/>
  <c r="H51" i="3" s="1"/>
  <c r="D126" i="3"/>
  <c r="H126" i="3" a="1"/>
  <c r="H126" i="3" s="1"/>
  <c r="H45" i="3" a="1"/>
  <c r="H45" i="3" s="1"/>
  <c r="H40" i="3" a="1"/>
  <c r="H40" i="3" s="1"/>
  <c r="C18" i="6"/>
  <c r="H53" i="3" a="1"/>
  <c r="H53" i="3" s="1"/>
  <c r="D128" i="3"/>
  <c r="H128" i="3" a="1"/>
  <c r="H128" i="3" s="1"/>
  <c r="D127" i="3"/>
  <c r="H127" i="3" a="1"/>
  <c r="H127" i="3" s="1"/>
  <c r="B111" i="3"/>
  <c r="F111" i="3" s="1"/>
  <c r="H111" i="3" a="1"/>
  <c r="H111" i="3" s="1"/>
  <c r="H54" i="3" a="1"/>
  <c r="H54" i="3" s="1"/>
  <c r="D129" i="3"/>
  <c r="H129" i="3" a="1"/>
  <c r="H129" i="3" s="1"/>
  <c r="H41" i="3" a="1"/>
  <c r="H41" i="3" s="1"/>
  <c r="C113" i="3"/>
  <c r="H113" i="3" a="1"/>
  <c r="H113" i="3" s="1"/>
  <c r="D119" i="3"/>
  <c r="H119" i="3" a="1"/>
  <c r="H119" i="3" s="1"/>
  <c r="H42" i="3" a="1"/>
  <c r="H42" i="3" s="1"/>
  <c r="D125" i="3"/>
  <c r="H125" i="3" a="1"/>
  <c r="H125" i="3" s="1"/>
  <c r="D120" i="3"/>
  <c r="H120" i="3" a="1"/>
  <c r="H120" i="3" s="1"/>
  <c r="H43" i="3" a="1"/>
  <c r="H43" i="3" s="1"/>
  <c r="D112" i="3"/>
  <c r="H112" i="3" a="1"/>
  <c r="H112" i="3" s="1"/>
  <c r="C114" i="3"/>
  <c r="H114" i="3" a="1"/>
  <c r="H114" i="3" s="1"/>
  <c r="C115" i="3"/>
  <c r="H115" i="3" a="1"/>
  <c r="H115" i="3" s="1"/>
  <c r="C121" i="3"/>
  <c r="H121" i="3" a="1"/>
  <c r="H121" i="3" s="1"/>
  <c r="D122" i="3"/>
  <c r="H122" i="3" a="1"/>
  <c r="H122" i="3" s="1"/>
  <c r="B123" i="3"/>
  <c r="F123" i="3" s="1"/>
  <c r="H123" i="3" a="1"/>
  <c r="H123" i="3" s="1"/>
  <c r="B119" i="3"/>
  <c r="F119" i="3" s="1"/>
  <c r="C129" i="3"/>
  <c r="B129" i="3"/>
  <c r="F129" i="3" s="1"/>
  <c r="B158" i="3"/>
  <c r="F158" i="3"/>
  <c r="F145" i="3"/>
  <c r="E145" i="3"/>
  <c r="E131" i="3"/>
  <c r="F144" i="3"/>
  <c r="F131" i="3"/>
  <c r="C42" i="3"/>
  <c r="C53" i="3"/>
  <c r="D51" i="3"/>
  <c r="D123" i="3"/>
  <c r="B127" i="3"/>
  <c r="F127" i="3" s="1"/>
  <c r="B120" i="3"/>
  <c r="F120" i="3" s="1"/>
  <c r="C128" i="3"/>
  <c r="D114" i="3"/>
  <c r="B40" i="3"/>
  <c r="F40" i="3" s="1"/>
  <c r="B42" i="3"/>
  <c r="F42" i="3" s="1"/>
  <c r="D45" i="3"/>
  <c r="B125" i="3"/>
  <c r="F125" i="3" s="1"/>
  <c r="D42" i="3"/>
  <c r="C125" i="3"/>
  <c r="C43" i="3"/>
  <c r="C120" i="3"/>
  <c r="B41" i="3"/>
  <c r="F41" i="3" s="1"/>
  <c r="D41" i="3"/>
  <c r="D40" i="3"/>
  <c r="C40" i="3"/>
  <c r="D44" i="3"/>
  <c r="D39" i="3"/>
  <c r="C41" i="3"/>
  <c r="B39" i="3"/>
  <c r="F39" i="3" s="1"/>
  <c r="C39" i="3"/>
  <c r="C127" i="3"/>
  <c r="C124" i="3"/>
  <c r="D124" i="3"/>
  <c r="B126" i="3"/>
  <c r="F126" i="3" s="1"/>
  <c r="C126" i="3"/>
  <c r="B121" i="3"/>
  <c r="F121" i="3" s="1"/>
  <c r="D121" i="3"/>
  <c r="B128" i="3"/>
  <c r="F128" i="3" s="1"/>
  <c r="C119" i="3"/>
  <c r="B122" i="3"/>
  <c r="F122" i="3" s="1"/>
  <c r="C122" i="3"/>
  <c r="D43" i="3"/>
  <c r="B45" i="3"/>
  <c r="F45" i="3" s="1"/>
  <c r="B44" i="3"/>
  <c r="F44" i="3" s="1"/>
  <c r="C45" i="3"/>
  <c r="B43" i="3"/>
  <c r="F43" i="3" s="1"/>
  <c r="C44" i="3"/>
  <c r="B53" i="3"/>
  <c r="F53" i="3" s="1"/>
  <c r="D53" i="3"/>
  <c r="C52" i="3"/>
  <c r="B55" i="3"/>
  <c r="F55" i="3" s="1"/>
  <c r="D50" i="3"/>
  <c r="D49" i="3"/>
  <c r="C54" i="3"/>
  <c r="D55" i="3"/>
  <c r="D54" i="3"/>
  <c r="B54" i="3"/>
  <c r="F54" i="3" s="1"/>
  <c r="B52" i="3"/>
  <c r="F52" i="3" s="1"/>
  <c r="D52" i="3"/>
  <c r="B49" i="3"/>
  <c r="F49" i="3" s="1"/>
  <c r="B50" i="3"/>
  <c r="F50" i="3" s="1"/>
  <c r="C49" i="3"/>
  <c r="C50" i="3"/>
  <c r="C55" i="3"/>
  <c r="B51" i="3"/>
  <c r="F51" i="3" s="1"/>
  <c r="C51" i="3"/>
  <c r="B115" i="3"/>
  <c r="F115" i="3" s="1"/>
  <c r="D115" i="3"/>
  <c r="C112" i="3"/>
  <c r="B112" i="3"/>
  <c r="F112" i="3" s="1"/>
  <c r="C111" i="3"/>
  <c r="D111" i="3"/>
  <c r="D113" i="3"/>
  <c r="B113" i="3"/>
  <c r="F113" i="3" s="1"/>
  <c r="B114" i="3"/>
  <c r="F114" i="3" s="1"/>
  <c r="H109" i="3" l="1"/>
  <c r="H117" i="3"/>
  <c r="H47" i="3"/>
  <c r="H37" i="3"/>
  <c r="K14" i="6"/>
  <c r="K16" i="6"/>
  <c r="F130" i="3"/>
  <c r="F117" i="3"/>
  <c r="E117" i="3"/>
  <c r="F46" i="3"/>
  <c r="E37" i="3"/>
  <c r="F37" i="3"/>
  <c r="F56" i="3"/>
  <c r="F47" i="3"/>
  <c r="E47" i="3"/>
  <c r="F109" i="3"/>
  <c r="F116" i="3"/>
  <c r="E109" i="3"/>
  <c r="C16" i="6" l="1"/>
  <c r="AH15" i="5"/>
  <c r="AH14" i="5"/>
  <c r="AH13" i="5"/>
  <c r="AH12" i="5"/>
  <c r="AH11" i="5"/>
  <c r="AH8" i="5"/>
  <c r="AH10" i="5"/>
  <c r="AH6" i="5"/>
  <c r="AH5" i="5"/>
  <c r="AH4" i="5"/>
  <c r="L26" i="3"/>
  <c r="L25" i="3"/>
  <c r="L24" i="3"/>
  <c r="L23" i="3"/>
  <c r="L22" i="3"/>
  <c r="L21" i="3"/>
  <c r="L20" i="3"/>
  <c r="L19" i="3"/>
  <c r="L17" i="3"/>
  <c r="Q26" i="3" l="1"/>
  <c r="Q25" i="3"/>
  <c r="Q24" i="3"/>
  <c r="Q23" i="3"/>
  <c r="Q22" i="3"/>
  <c r="Q21" i="3"/>
  <c r="Q20" i="3"/>
  <c r="Q19" i="3"/>
  <c r="Q18" i="3"/>
  <c r="Q17" i="3"/>
  <c r="P17" i="3"/>
  <c r="P26" i="3"/>
  <c r="P25" i="3"/>
  <c r="P24" i="3"/>
  <c r="P23" i="3"/>
  <c r="P22" i="3"/>
  <c r="P21" i="3"/>
  <c r="P20" i="3"/>
  <c r="P19" i="3"/>
  <c r="P18" i="3"/>
  <c r="O26" i="3"/>
  <c r="O25" i="3"/>
  <c r="O24" i="3"/>
  <c r="O23" i="3"/>
  <c r="O22" i="3"/>
  <c r="O21" i="3"/>
  <c r="O20" i="3"/>
  <c r="O19" i="3"/>
  <c r="O18" i="3"/>
  <c r="O17" i="3"/>
  <c r="N26" i="3"/>
  <c r="N25" i="3"/>
  <c r="N24" i="3"/>
  <c r="N23" i="3"/>
  <c r="N22" i="3"/>
  <c r="N21" i="3"/>
  <c r="N20" i="3"/>
  <c r="N19" i="3"/>
  <c r="N18" i="3"/>
  <c r="N17" i="3"/>
  <c r="M26" i="3"/>
  <c r="M25" i="3"/>
  <c r="M24" i="3"/>
  <c r="M23" i="3"/>
  <c r="M22" i="3"/>
  <c r="M21" i="3"/>
  <c r="M20" i="3"/>
  <c r="M19" i="3"/>
  <c r="M18" i="3"/>
  <c r="M17" i="3"/>
  <c r="K17" i="3"/>
  <c r="J17" i="3"/>
  <c r="B17" i="3" l="1"/>
  <c r="F17" i="3" s="1"/>
  <c r="H17" i="3" a="1"/>
  <c r="H17" i="3" s="1"/>
  <c r="D17" i="3"/>
  <c r="C17" i="3"/>
  <c r="E79" i="3"/>
  <c r="E78" i="3"/>
  <c r="E77" i="3"/>
  <c r="E76" i="3"/>
  <c r="E75" i="3"/>
  <c r="E74" i="3"/>
  <c r="E73" i="3"/>
  <c r="E72" i="3"/>
  <c r="E71" i="3"/>
  <c r="E70" i="3"/>
  <c r="E69" i="3"/>
  <c r="E107" i="3"/>
  <c r="E106" i="3"/>
  <c r="E105" i="3"/>
  <c r="E104" i="3"/>
  <c r="E103" i="3"/>
  <c r="E102" i="3"/>
  <c r="E101" i="3"/>
  <c r="E100" i="3"/>
  <c r="E99" i="3"/>
  <c r="E98" i="3"/>
  <c r="M107" i="3"/>
  <c r="L107" i="3"/>
  <c r="K107" i="3"/>
  <c r="J107" i="3"/>
  <c r="I107" i="3"/>
  <c r="M106" i="3"/>
  <c r="L106" i="3"/>
  <c r="K106" i="3"/>
  <c r="J106" i="3"/>
  <c r="I106" i="3"/>
  <c r="M105" i="3"/>
  <c r="L105" i="3"/>
  <c r="K105" i="3"/>
  <c r="J105" i="3"/>
  <c r="I105" i="3"/>
  <c r="M104" i="3"/>
  <c r="L104" i="3"/>
  <c r="K104" i="3"/>
  <c r="J104" i="3"/>
  <c r="I104" i="3"/>
  <c r="M103" i="3"/>
  <c r="L103" i="3"/>
  <c r="K103" i="3"/>
  <c r="J103" i="3"/>
  <c r="I103" i="3"/>
  <c r="M102" i="3"/>
  <c r="L102" i="3"/>
  <c r="K102" i="3"/>
  <c r="J102" i="3"/>
  <c r="I102" i="3"/>
  <c r="M101" i="3"/>
  <c r="L101" i="3"/>
  <c r="K101" i="3"/>
  <c r="J101" i="3"/>
  <c r="I101" i="3"/>
  <c r="M100" i="3"/>
  <c r="L100" i="3"/>
  <c r="K100" i="3"/>
  <c r="J100" i="3"/>
  <c r="I100" i="3"/>
  <c r="M99" i="3"/>
  <c r="L99" i="3"/>
  <c r="K99" i="3"/>
  <c r="J99" i="3"/>
  <c r="I99" i="3"/>
  <c r="M98" i="3"/>
  <c r="L98" i="3"/>
  <c r="K98" i="3"/>
  <c r="J98" i="3"/>
  <c r="I98" i="3"/>
  <c r="E97" i="3"/>
  <c r="B13" i="6"/>
  <c r="B12" i="6"/>
  <c r="B11" i="6"/>
  <c r="B10" i="6"/>
  <c r="B9" i="6"/>
  <c r="B7" i="6"/>
  <c r="B6" i="6"/>
  <c r="B5" i="6"/>
  <c r="E13" i="3"/>
  <c r="E12" i="3"/>
  <c r="E11" i="3"/>
  <c r="E10" i="3"/>
  <c r="E9" i="3"/>
  <c r="E8" i="3"/>
  <c r="E7" i="3"/>
  <c r="E6" i="3"/>
  <c r="E5" i="3"/>
  <c r="E4" i="3"/>
  <c r="E3" i="3"/>
  <c r="U13" i="3"/>
  <c r="U12" i="3"/>
  <c r="U11" i="3"/>
  <c r="U10" i="3"/>
  <c r="U9" i="3"/>
  <c r="U8" i="3"/>
  <c r="U7" i="3"/>
  <c r="U6" i="3"/>
  <c r="U5" i="3"/>
  <c r="U4" i="3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K26" i="3"/>
  <c r="K25" i="3"/>
  <c r="K24" i="3"/>
  <c r="K23" i="3"/>
  <c r="K22" i="3"/>
  <c r="K21" i="3"/>
  <c r="K20" i="3"/>
  <c r="K19" i="3"/>
  <c r="K18" i="3"/>
  <c r="J26" i="3"/>
  <c r="J25" i="3"/>
  <c r="J24" i="3"/>
  <c r="J23" i="3"/>
  <c r="J22" i="3"/>
  <c r="J21" i="3"/>
  <c r="J20" i="3"/>
  <c r="J19" i="3"/>
  <c r="J18" i="3"/>
  <c r="T13" i="3"/>
  <c r="T12" i="3"/>
  <c r="T11" i="3"/>
  <c r="T10" i="3"/>
  <c r="T9" i="3"/>
  <c r="T8" i="3"/>
  <c r="T7" i="3"/>
  <c r="T6" i="3"/>
  <c r="T5" i="3"/>
  <c r="T4" i="3"/>
  <c r="T3" i="3"/>
  <c r="M97" i="3"/>
  <c r="L97" i="3"/>
  <c r="K97" i="3"/>
  <c r="J97" i="3"/>
  <c r="I97" i="3"/>
  <c r="L93" i="3"/>
  <c r="L92" i="3"/>
  <c r="L91" i="3"/>
  <c r="L89" i="3"/>
  <c r="L88" i="3"/>
  <c r="L87" i="3"/>
  <c r="L86" i="3"/>
  <c r="L85" i="3"/>
  <c r="L84" i="3"/>
  <c r="L83" i="3"/>
  <c r="K93" i="3"/>
  <c r="K92" i="3"/>
  <c r="K91" i="3"/>
  <c r="K89" i="3"/>
  <c r="K88" i="3"/>
  <c r="K87" i="3"/>
  <c r="K86" i="3"/>
  <c r="K85" i="3"/>
  <c r="K84" i="3"/>
  <c r="K83" i="3"/>
  <c r="I88" i="3"/>
  <c r="I87" i="3"/>
  <c r="I26" i="3"/>
  <c r="I25" i="3"/>
  <c r="I24" i="3"/>
  <c r="I23" i="3"/>
  <c r="I22" i="3"/>
  <c r="I21" i="3"/>
  <c r="I20" i="3"/>
  <c r="I19" i="3"/>
  <c r="I18" i="3"/>
  <c r="N9" i="3"/>
  <c r="N8" i="3"/>
  <c r="N7" i="3"/>
  <c r="N6" i="3"/>
  <c r="N5" i="3"/>
  <c r="N4" i="3"/>
  <c r="N3" i="3"/>
  <c r="M10" i="3"/>
  <c r="M9" i="3"/>
  <c r="M8" i="3"/>
  <c r="M7" i="3"/>
  <c r="M6" i="3"/>
  <c r="M5" i="3"/>
  <c r="M4" i="3"/>
  <c r="M3" i="3"/>
  <c r="H106" i="3" l="1" a="1"/>
  <c r="H106" i="3" s="1"/>
  <c r="H99" i="3" a="1"/>
  <c r="H99" i="3" s="1"/>
  <c r="H23" i="3" a="1"/>
  <c r="H23" i="3" s="1"/>
  <c r="H100" i="3" a="1"/>
  <c r="H100" i="3" s="1"/>
  <c r="H101" i="3" a="1"/>
  <c r="H101" i="3" s="1"/>
  <c r="H97" i="3" a="1"/>
  <c r="H97" i="3" s="1"/>
  <c r="H104" i="3" a="1"/>
  <c r="H104" i="3" s="1"/>
  <c r="H102" i="3" a="1"/>
  <c r="H102" i="3" s="1"/>
  <c r="H107" i="3" a="1"/>
  <c r="H107" i="3" s="1"/>
  <c r="H105" i="3" a="1"/>
  <c r="H105" i="3" s="1"/>
  <c r="H98" i="3" a="1"/>
  <c r="H98" i="3" s="1"/>
  <c r="H103" i="3" a="1"/>
  <c r="H103" i="3" s="1"/>
  <c r="H24" i="3" a="1"/>
  <c r="H24" i="3" s="1"/>
  <c r="H25" i="3" a="1"/>
  <c r="H25" i="3" s="1"/>
  <c r="H86" i="3" a="1"/>
  <c r="H86" i="3" s="1"/>
  <c r="H26" i="3" a="1"/>
  <c r="H26" i="3" s="1"/>
  <c r="H87" i="3" a="1"/>
  <c r="H87" i="3" s="1"/>
  <c r="G11" i="6"/>
  <c r="E11" i="6"/>
  <c r="G12" i="6"/>
  <c r="E12" i="6"/>
  <c r="G13" i="6"/>
  <c r="E13" i="6"/>
  <c r="G5" i="6"/>
  <c r="E5" i="6"/>
  <c r="G6" i="6"/>
  <c r="E6" i="6"/>
  <c r="G7" i="6"/>
  <c r="E7" i="6"/>
  <c r="G9" i="6"/>
  <c r="E9" i="6"/>
  <c r="G10" i="6"/>
  <c r="E10" i="6"/>
  <c r="H20" i="3" a="1"/>
  <c r="H20" i="3" s="1"/>
  <c r="H19" i="3" a="1"/>
  <c r="H19" i="3" s="1"/>
  <c r="H22" i="3" a="1"/>
  <c r="H22" i="3" s="1"/>
  <c r="H88" i="3" a="1"/>
  <c r="H88" i="3" s="1"/>
  <c r="H89" i="3" a="1"/>
  <c r="H89" i="3" s="1"/>
  <c r="H91" i="3" a="1"/>
  <c r="H91" i="3" s="1"/>
  <c r="H18" i="3" a="1"/>
  <c r="H18" i="3" s="1"/>
  <c r="H15" i="3" s="1"/>
  <c r="H92" i="3" a="1"/>
  <c r="H92" i="3" s="1"/>
  <c r="H93" i="3" a="1"/>
  <c r="H93" i="3" s="1"/>
  <c r="H21" i="3" a="1"/>
  <c r="H21" i="3" s="1"/>
  <c r="H83" i="3" a="1"/>
  <c r="H83" i="3" s="1"/>
  <c r="H84" i="3" a="1"/>
  <c r="H84" i="3" s="1"/>
  <c r="H85" i="3" a="1"/>
  <c r="H85" i="3" s="1"/>
  <c r="F7" i="6"/>
  <c r="F12" i="6"/>
  <c r="F5" i="6"/>
  <c r="D5" i="6"/>
  <c r="F10" i="6"/>
  <c r="F13" i="6"/>
  <c r="D6" i="6"/>
  <c r="F6" i="6"/>
  <c r="F9" i="6"/>
  <c r="F11" i="6"/>
  <c r="C11" i="6"/>
  <c r="D19" i="3"/>
  <c r="C19" i="3"/>
  <c r="B19" i="3"/>
  <c r="F19" i="3" s="1"/>
  <c r="C20" i="3"/>
  <c r="B20" i="3"/>
  <c r="F20" i="3" s="1"/>
  <c r="D20" i="3"/>
  <c r="C21" i="3"/>
  <c r="B21" i="3"/>
  <c r="F21" i="3" s="1"/>
  <c r="D21" i="3"/>
  <c r="B22" i="3"/>
  <c r="F22" i="3" s="1"/>
  <c r="D22" i="3"/>
  <c r="C22" i="3"/>
  <c r="D23" i="3"/>
  <c r="C23" i="3"/>
  <c r="B23" i="3"/>
  <c r="F23" i="3" s="1"/>
  <c r="D24" i="3"/>
  <c r="C24" i="3"/>
  <c r="B24" i="3"/>
  <c r="F24" i="3" s="1"/>
  <c r="C25" i="3"/>
  <c r="D25" i="3"/>
  <c r="B25" i="3"/>
  <c r="F25" i="3" s="1"/>
  <c r="D26" i="3"/>
  <c r="C26" i="3"/>
  <c r="B26" i="3"/>
  <c r="F26" i="3" s="1"/>
  <c r="D18" i="3"/>
  <c r="C18" i="3"/>
  <c r="B18" i="3"/>
  <c r="F18" i="3" s="1"/>
  <c r="D61" i="3"/>
  <c r="C61" i="3"/>
  <c r="B61" i="3"/>
  <c r="F61" i="3" s="1"/>
  <c r="C63" i="3"/>
  <c r="D63" i="3"/>
  <c r="B63" i="3"/>
  <c r="F63" i="3" s="1"/>
  <c r="C64" i="3"/>
  <c r="D64" i="3"/>
  <c r="B64" i="3"/>
  <c r="F64" i="3" s="1"/>
  <c r="D65" i="3"/>
  <c r="C65" i="3"/>
  <c r="B65" i="3"/>
  <c r="F65" i="3" s="1"/>
  <c r="C62" i="3"/>
  <c r="D62" i="3"/>
  <c r="B62" i="3"/>
  <c r="F62" i="3" s="1"/>
  <c r="D59" i="3"/>
  <c r="B59" i="3"/>
  <c r="F59" i="3" s="1"/>
  <c r="C59" i="3"/>
  <c r="D60" i="3"/>
  <c r="B60" i="3"/>
  <c r="F60" i="3" s="1"/>
  <c r="C60" i="3"/>
  <c r="D71" i="3"/>
  <c r="D76" i="3"/>
  <c r="D75" i="3"/>
  <c r="D79" i="3"/>
  <c r="B78" i="3"/>
  <c r="F78" i="3" s="1"/>
  <c r="B69" i="3"/>
  <c r="F69" i="3" s="1"/>
  <c r="D70" i="3"/>
  <c r="D69" i="3"/>
  <c r="D77" i="3"/>
  <c r="D72" i="3"/>
  <c r="B73" i="3"/>
  <c r="F73" i="3" s="1"/>
  <c r="D73" i="3"/>
  <c r="B99" i="3"/>
  <c r="F99" i="3" s="1"/>
  <c r="D107" i="3"/>
  <c r="D74" i="3"/>
  <c r="D78" i="3"/>
  <c r="D104" i="3"/>
  <c r="C6" i="6"/>
  <c r="D10" i="6"/>
  <c r="D11" i="6"/>
  <c r="C9" i="6"/>
  <c r="C7" i="6"/>
  <c r="C5" i="6"/>
  <c r="D13" i="6"/>
  <c r="C12" i="6"/>
  <c r="C10" i="6"/>
  <c r="D9" i="6"/>
  <c r="C13" i="6"/>
  <c r="D7" i="6"/>
  <c r="D12" i="6"/>
  <c r="B77" i="3"/>
  <c r="F77" i="3" s="1"/>
  <c r="C77" i="3"/>
  <c r="C69" i="3"/>
  <c r="C73" i="3"/>
  <c r="C78" i="3"/>
  <c r="B70" i="3"/>
  <c r="F70" i="3" s="1"/>
  <c r="B74" i="3"/>
  <c r="F74" i="3" s="1"/>
  <c r="B79" i="3"/>
  <c r="F79" i="3" s="1"/>
  <c r="C70" i="3"/>
  <c r="C74" i="3"/>
  <c r="C79" i="3"/>
  <c r="B71" i="3"/>
  <c r="F71" i="3" s="1"/>
  <c r="B75" i="3"/>
  <c r="F75" i="3" s="1"/>
  <c r="D100" i="3"/>
  <c r="C71" i="3"/>
  <c r="C75" i="3"/>
  <c r="D102" i="3"/>
  <c r="D99" i="3"/>
  <c r="B72" i="3"/>
  <c r="F72" i="3" s="1"/>
  <c r="B76" i="3"/>
  <c r="F76" i="3" s="1"/>
  <c r="C72" i="3"/>
  <c r="C76" i="3"/>
  <c r="C107" i="3"/>
  <c r="D105" i="3"/>
  <c r="D98" i="3"/>
  <c r="B100" i="3"/>
  <c r="F100" i="3" s="1"/>
  <c r="D101" i="3"/>
  <c r="D103" i="3"/>
  <c r="B105" i="3"/>
  <c r="F105" i="3" s="1"/>
  <c r="D106" i="3"/>
  <c r="C99" i="3"/>
  <c r="C104" i="3"/>
  <c r="B104" i="3"/>
  <c r="F104" i="3" s="1"/>
  <c r="C100" i="3"/>
  <c r="B101" i="3"/>
  <c r="F101" i="3" s="1"/>
  <c r="C101" i="3"/>
  <c r="C105" i="3"/>
  <c r="B98" i="3"/>
  <c r="F98" i="3" s="1"/>
  <c r="B102" i="3"/>
  <c r="F102" i="3" s="1"/>
  <c r="B106" i="3"/>
  <c r="F106" i="3" s="1"/>
  <c r="C98" i="3"/>
  <c r="C102" i="3"/>
  <c r="C106" i="3"/>
  <c r="B103" i="3"/>
  <c r="F103" i="3" s="1"/>
  <c r="C103" i="3"/>
  <c r="B107" i="3"/>
  <c r="F107" i="3" s="1"/>
  <c r="D88" i="3"/>
  <c r="D89" i="3"/>
  <c r="C87" i="3"/>
  <c r="C86" i="3"/>
  <c r="C84" i="3"/>
  <c r="B91" i="3"/>
  <c r="F91" i="3" s="1"/>
  <c r="D92" i="3"/>
  <c r="D93" i="3"/>
  <c r="D91" i="3"/>
  <c r="D85" i="3"/>
  <c r="D84" i="3"/>
  <c r="C89" i="3"/>
  <c r="B84" i="3"/>
  <c r="F84" i="3" s="1"/>
  <c r="B87" i="3"/>
  <c r="F87" i="3" s="1"/>
  <c r="D87" i="3"/>
  <c r="C91" i="3"/>
  <c r="C93" i="3"/>
  <c r="D86" i="3"/>
  <c r="B86" i="3"/>
  <c r="F86" i="3" s="1"/>
  <c r="B89" i="3"/>
  <c r="F89" i="3" s="1"/>
  <c r="B93" i="3"/>
  <c r="F93" i="3" s="1"/>
  <c r="B85" i="3"/>
  <c r="F85" i="3" s="1"/>
  <c r="B88" i="3"/>
  <c r="F88" i="3" s="1"/>
  <c r="B92" i="3"/>
  <c r="F92" i="3" s="1"/>
  <c r="C88" i="3"/>
  <c r="C92" i="3"/>
  <c r="C85" i="3"/>
  <c r="S9" i="3"/>
  <c r="S8" i="3"/>
  <c r="S7" i="3"/>
  <c r="S6" i="3"/>
  <c r="S5" i="3"/>
  <c r="S4" i="3"/>
  <c r="S3" i="3"/>
  <c r="R13" i="3"/>
  <c r="R12" i="3"/>
  <c r="R11" i="3"/>
  <c r="R10" i="3"/>
  <c r="R9" i="3"/>
  <c r="R8" i="3"/>
  <c r="R7" i="3"/>
  <c r="R6" i="3"/>
  <c r="R5" i="3"/>
  <c r="R4" i="3"/>
  <c r="R3" i="3"/>
  <c r="H81" i="3" l="1"/>
  <c r="H95" i="3"/>
  <c r="I18" i="6"/>
  <c r="G14" i="6"/>
  <c r="C14" i="6"/>
  <c r="I14" i="6"/>
  <c r="E29" i="3"/>
  <c r="F29" i="3"/>
  <c r="F36" i="3"/>
  <c r="E57" i="3"/>
  <c r="F57" i="3"/>
  <c r="F66" i="3"/>
  <c r="E67" i="3"/>
  <c r="F67" i="3"/>
  <c r="F80" i="3"/>
  <c r="X38" i="1"/>
  <c r="W38" i="1" s="1"/>
  <c r="X37" i="1"/>
  <c r="W37" i="1" s="1"/>
  <c r="X36" i="1"/>
  <c r="W36" i="1" s="1"/>
  <c r="X35" i="1"/>
  <c r="W35" i="1" s="1"/>
  <c r="X34" i="1"/>
  <c r="W34" i="1" s="1"/>
  <c r="X33" i="1"/>
  <c r="W33" i="1" s="1"/>
  <c r="X32" i="1"/>
  <c r="W32" i="1" s="1"/>
  <c r="X31" i="1"/>
  <c r="W31" i="1" s="1"/>
  <c r="X30" i="1"/>
  <c r="W30" i="1" s="1"/>
  <c r="X29" i="1"/>
  <c r="W29" i="1" s="1"/>
  <c r="X28" i="1"/>
  <c r="W28" i="1" s="1"/>
  <c r="X27" i="1"/>
  <c r="W27" i="1" s="1"/>
  <c r="X26" i="1"/>
  <c r="W26" i="1" s="1"/>
  <c r="X25" i="1"/>
  <c r="W25" i="1" s="1"/>
  <c r="T38" i="1"/>
  <c r="S38" i="1" s="1"/>
  <c r="T37" i="1"/>
  <c r="S37" i="1" s="1"/>
  <c r="T36" i="1"/>
  <c r="S36" i="1" s="1"/>
  <c r="T35" i="1"/>
  <c r="S35" i="1" s="1"/>
  <c r="T34" i="1"/>
  <c r="S34" i="1" s="1"/>
  <c r="T33" i="1"/>
  <c r="S33" i="1" s="1"/>
  <c r="T32" i="1"/>
  <c r="S32" i="1" s="1"/>
  <c r="T31" i="1"/>
  <c r="S31" i="1" s="1"/>
  <c r="T30" i="1"/>
  <c r="S30" i="1" s="1"/>
  <c r="T29" i="1"/>
  <c r="S29" i="1" s="1"/>
  <c r="T28" i="1"/>
  <c r="S28" i="1" s="1"/>
  <c r="T27" i="1"/>
  <c r="S27" i="1" s="1"/>
  <c r="T26" i="1"/>
  <c r="S26" i="1" s="1"/>
  <c r="T25" i="1"/>
  <c r="S25" i="1" s="1"/>
  <c r="Q13" i="3" l="1"/>
  <c r="Q12" i="3"/>
  <c r="Q11" i="3"/>
  <c r="Q10" i="3"/>
  <c r="Q9" i="3"/>
  <c r="Q8" i="3"/>
  <c r="Q7" i="3"/>
  <c r="Q6" i="3"/>
  <c r="Q5" i="3"/>
  <c r="Q4" i="3"/>
  <c r="Q3" i="3"/>
  <c r="P13" i="3"/>
  <c r="H13" i="3" s="1" a="1"/>
  <c r="H13" i="3" s="1"/>
  <c r="P12" i="3"/>
  <c r="P11" i="3"/>
  <c r="P10" i="3"/>
  <c r="P9" i="3"/>
  <c r="P8" i="3"/>
  <c r="P7" i="3"/>
  <c r="P6" i="3"/>
  <c r="P5" i="3"/>
  <c r="P4" i="3"/>
  <c r="P3" i="3"/>
  <c r="H12" i="3" l="1" a="1"/>
  <c r="H12" i="3" s="1"/>
  <c r="H10" i="3" a="1"/>
  <c r="H10" i="3" s="1"/>
  <c r="H7" i="3" a="1"/>
  <c r="H7" i="3" s="1"/>
  <c r="H6" i="3" a="1"/>
  <c r="H6" i="3" s="1"/>
  <c r="H4" i="3" a="1"/>
  <c r="H4" i="3" s="1"/>
  <c r="H8" i="3" a="1"/>
  <c r="H8" i="3" s="1"/>
  <c r="H3" i="3" a="1"/>
  <c r="H3" i="3" s="1"/>
  <c r="H9" i="3" a="1"/>
  <c r="H9" i="3" s="1"/>
  <c r="H5" i="3" a="1"/>
  <c r="H5" i="3" s="1"/>
  <c r="H11" i="3" a="1"/>
  <c r="H11" i="3" s="1"/>
  <c r="B3" i="3"/>
  <c r="D11" i="3"/>
  <c r="B11" i="3"/>
  <c r="F11" i="3" s="1"/>
  <c r="C11" i="3"/>
  <c r="D12" i="3"/>
  <c r="C12" i="3"/>
  <c r="B12" i="3"/>
  <c r="F12" i="3" s="1"/>
  <c r="D3" i="3"/>
  <c r="C3" i="3"/>
  <c r="B13" i="3"/>
  <c r="F13" i="3" s="1"/>
  <c r="D13" i="3"/>
  <c r="C13" i="3"/>
  <c r="B5" i="3"/>
  <c r="F5" i="3" s="1"/>
  <c r="D5" i="3"/>
  <c r="C5" i="3"/>
  <c r="D4" i="3"/>
  <c r="C4" i="3"/>
  <c r="B4" i="3"/>
  <c r="F4" i="3" s="1"/>
  <c r="D6" i="3"/>
  <c r="C6" i="3"/>
  <c r="B6" i="3"/>
  <c r="F6" i="3" s="1"/>
  <c r="D7" i="3"/>
  <c r="C7" i="3"/>
  <c r="B7" i="3"/>
  <c r="F7" i="3" s="1"/>
  <c r="D8" i="3"/>
  <c r="C8" i="3"/>
  <c r="B8" i="3"/>
  <c r="F8" i="3" s="1"/>
  <c r="B9" i="3"/>
  <c r="F9" i="3" s="1"/>
  <c r="D9" i="3"/>
  <c r="C9" i="3"/>
  <c r="D10" i="3"/>
  <c r="C10" i="3"/>
  <c r="B10" i="3"/>
  <c r="F10" i="3" s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I2" i="1" a="1"/>
  <c r="I2" i="1" s="1"/>
  <c r="S1" i="1"/>
  <c r="S19" i="1" s="1"/>
  <c r="Q18" i="1"/>
  <c r="T18" i="1" s="1"/>
  <c r="Q17" i="1"/>
  <c r="T17" i="1" s="1"/>
  <c r="Q16" i="1"/>
  <c r="T16" i="1" s="1"/>
  <c r="Q15" i="1"/>
  <c r="R15" i="1" s="1"/>
  <c r="Q14" i="1"/>
  <c r="R14" i="1" s="1"/>
  <c r="Q13" i="1"/>
  <c r="T13" i="1" s="1"/>
  <c r="Q12" i="1"/>
  <c r="T12" i="1" s="1"/>
  <c r="Q11" i="1"/>
  <c r="T11" i="1" s="1"/>
  <c r="Q10" i="1"/>
  <c r="R10" i="1" s="1"/>
  <c r="Q9" i="1"/>
  <c r="T9" i="1" s="1"/>
  <c r="Q8" i="1"/>
  <c r="T8" i="1" s="1"/>
  <c r="Q7" i="1"/>
  <c r="T7" i="1" s="1"/>
  <c r="Q6" i="1"/>
  <c r="T6" i="1" s="1"/>
  <c r="Q5" i="1"/>
  <c r="T5" i="1" s="1"/>
  <c r="Q4" i="1"/>
  <c r="T4" i="1" s="1"/>
  <c r="Q3" i="1"/>
  <c r="R3" i="1" s="1"/>
  <c r="Q2" i="1"/>
  <c r="R2" i="1" s="1"/>
  <c r="G2" i="1" a="1"/>
  <c r="G2" i="1" s="1"/>
  <c r="C12" i="1"/>
  <c r="C11" i="1"/>
  <c r="C10" i="1"/>
  <c r="C9" i="1"/>
  <c r="C8" i="1"/>
  <c r="C7" i="1"/>
  <c r="C6" i="1"/>
  <c r="C5" i="1"/>
  <c r="C4" i="1"/>
  <c r="C3" i="1"/>
  <c r="C2" i="1"/>
  <c r="A1" i="1" a="1"/>
  <c r="A1" i="1" s="1"/>
  <c r="H1" i="3" l="1"/>
  <c r="R8" i="1"/>
  <c r="R5" i="1"/>
  <c r="S5" i="1" s="1"/>
  <c r="R7" i="1"/>
  <c r="S7" i="1" s="1"/>
  <c r="R16" i="1"/>
  <c r="S16" i="1" s="1"/>
  <c r="R17" i="1"/>
  <c r="S17" i="1" s="1"/>
  <c r="R18" i="1"/>
  <c r="S18" i="1" s="1"/>
  <c r="R4" i="1"/>
  <c r="S4" i="1" s="1"/>
  <c r="R6" i="1"/>
  <c r="S6" i="1" s="1"/>
  <c r="R9" i="1"/>
  <c r="S9" i="1" s="1"/>
  <c r="T2" i="1"/>
  <c r="U2" i="1" s="1"/>
  <c r="Y2" i="1" s="1"/>
  <c r="T14" i="1"/>
  <c r="U14" i="1" s="1"/>
  <c r="T10" i="1"/>
  <c r="U10" i="1" s="1"/>
  <c r="T3" i="1"/>
  <c r="U3" i="1" s="1"/>
  <c r="R11" i="1"/>
  <c r="S11" i="1" s="1"/>
  <c r="R12" i="1"/>
  <c r="S12" i="1" s="1"/>
  <c r="T15" i="1"/>
  <c r="U15" i="1" s="1"/>
  <c r="R13" i="1"/>
  <c r="S13" i="1" s="1"/>
  <c r="T1" i="1"/>
  <c r="S8" i="1"/>
  <c r="S14" i="1"/>
  <c r="U7" i="1"/>
  <c r="U4" i="1"/>
  <c r="S10" i="1"/>
  <c r="U5" i="1"/>
  <c r="S15" i="1"/>
  <c r="U16" i="1"/>
  <c r="U17" i="1"/>
  <c r="U18" i="1"/>
  <c r="S2" i="1"/>
  <c r="S3" i="1"/>
  <c r="U6" i="1"/>
  <c r="U8" i="1"/>
  <c r="U9" i="1"/>
  <c r="U11" i="1"/>
  <c r="U12" i="1"/>
  <c r="U13" i="1"/>
  <c r="V15" i="1" l="1"/>
  <c r="W15" i="1" s="1"/>
  <c r="Z15" i="1" s="1"/>
  <c r="Y15" i="1"/>
  <c r="V16" i="1"/>
  <c r="W16" i="1" s="1"/>
  <c r="Z16" i="1" s="1"/>
  <c r="Y16" i="1"/>
  <c r="V5" i="1"/>
  <c r="W5" i="1" s="1"/>
  <c r="Z5" i="1" s="1"/>
  <c r="Y5" i="1"/>
  <c r="V3" i="1"/>
  <c r="W3" i="1" s="1"/>
  <c r="Z3" i="1" s="1"/>
  <c r="Y3" i="1"/>
  <c r="V9" i="1"/>
  <c r="W9" i="1" s="1"/>
  <c r="Z9" i="1" s="1"/>
  <c r="Y9" i="1"/>
  <c r="V6" i="1"/>
  <c r="W6" i="1" s="1"/>
  <c r="Z6" i="1" s="1"/>
  <c r="Y6" i="1"/>
  <c r="V13" i="1"/>
  <c r="W13" i="1" s="1"/>
  <c r="Z13" i="1" s="1"/>
  <c r="Y13" i="1"/>
  <c r="V7" i="1"/>
  <c r="W7" i="1" s="1"/>
  <c r="Z7" i="1" s="1"/>
  <c r="Y7" i="1"/>
  <c r="V14" i="1"/>
  <c r="W14" i="1" s="1"/>
  <c r="Z14" i="1" s="1"/>
  <c r="Y14" i="1"/>
  <c r="V18" i="1"/>
  <c r="W18" i="1" s="1"/>
  <c r="Z18" i="1" s="1"/>
  <c r="Y18" i="1"/>
  <c r="V2" i="1"/>
  <c r="W2" i="1" s="1"/>
  <c r="Z2" i="1" s="1"/>
  <c r="V12" i="1"/>
  <c r="W12" i="1" s="1"/>
  <c r="Z12" i="1" s="1"/>
  <c r="Y12" i="1"/>
  <c r="V10" i="1"/>
  <c r="W10" i="1" s="1"/>
  <c r="Z10" i="1" s="1"/>
  <c r="Y10" i="1"/>
  <c r="V8" i="1"/>
  <c r="W8" i="1" s="1"/>
  <c r="Z8" i="1" s="1"/>
  <c r="Y8" i="1"/>
  <c r="V4" i="1"/>
  <c r="W4" i="1" s="1"/>
  <c r="Z4" i="1" s="1"/>
  <c r="Y4" i="1"/>
  <c r="V17" i="1"/>
  <c r="W17" i="1" s="1"/>
  <c r="Z17" i="1" s="1"/>
  <c r="Y17" i="1"/>
  <c r="V11" i="1"/>
  <c r="W11" i="1" s="1"/>
  <c r="Z11" i="1" s="1"/>
  <c r="Y11" i="1"/>
  <c r="D83" i="3"/>
  <c r="B83" i="3"/>
  <c r="F83" i="3" s="1"/>
  <c r="C83" i="3"/>
  <c r="F94" i="3" l="1"/>
  <c r="E81" i="3"/>
  <c r="F81" i="3"/>
  <c r="B28" i="3"/>
  <c r="F15" i="3" l="1"/>
  <c r="E15" i="3"/>
  <c r="F28" i="3"/>
  <c r="F3" i="3" l="1"/>
  <c r="F1" i="3" l="1"/>
  <c r="E1" i="3"/>
  <c r="F14" i="3"/>
  <c r="D14" i="6" l="1"/>
  <c r="D97" i="3" l="1"/>
  <c r="B97" i="3"/>
  <c r="F97" i="3" s="1"/>
  <c r="C97" i="3"/>
  <c r="F95" i="3" l="1"/>
  <c r="E95" i="3"/>
  <c r="F108" i="3"/>
  <c r="H245" i="3" l="1" a="1"/>
  <c r="H245" i="3" s="1"/>
  <c r="D245" i="3"/>
  <c r="C245" i="3"/>
  <c r="B245" i="3"/>
  <c r="B256" i="3" s="1"/>
  <c r="H243" i="3" l="1"/>
  <c r="M14" i="6" s="1"/>
  <c r="F245" i="3"/>
  <c r="F243" i="3" l="1"/>
  <c r="E243" i="3"/>
  <c r="F256" i="3"/>
  <c r="H161" i="3" a="1"/>
  <c r="H161" i="3" s="1"/>
  <c r="D163" i="3"/>
  <c r="H163" i="3" a="1"/>
  <c r="H163" i="3" s="1"/>
  <c r="C163" i="3"/>
  <c r="H169" i="3" a="1"/>
  <c r="H169" i="3" s="1"/>
  <c r="C169" i="3"/>
  <c r="D169" i="3"/>
  <c r="D165" i="3"/>
  <c r="C165" i="3"/>
  <c r="H165" i="3" a="1"/>
  <c r="H165" i="3" s="1"/>
  <c r="H171" i="3" a="1"/>
  <c r="H171" i="3" s="1"/>
  <c r="C171" i="3"/>
  <c r="D171" i="3"/>
  <c r="C166" i="3"/>
  <c r="D166" i="3"/>
  <c r="H166" i="3" a="1"/>
  <c r="H166" i="3" s="1"/>
  <c r="C167" i="3"/>
  <c r="H167" i="3" a="1"/>
  <c r="H167" i="3" s="1"/>
  <c r="D167" i="3"/>
  <c r="C170" i="3"/>
  <c r="H170" i="3" a="1"/>
  <c r="H170" i="3" s="1"/>
  <c r="D170" i="3"/>
  <c r="D164" i="3"/>
  <c r="H164" i="3" a="1"/>
  <c r="H164" i="3" s="1"/>
  <c r="C164" i="3"/>
  <c r="C162" i="3"/>
  <c r="H162" i="3" a="1"/>
  <c r="H162" i="3" s="1"/>
  <c r="D162" i="3"/>
  <c r="H168" i="3" a="1"/>
  <c r="H168" i="3" s="1"/>
  <c r="D168" i="3"/>
  <c r="C168" i="3"/>
  <c r="C161" i="3"/>
  <c r="D161" i="3"/>
  <c r="B162" i="3"/>
  <c r="F162" i="3" s="1"/>
  <c r="B164" i="3"/>
  <c r="F164" i="3" s="1"/>
  <c r="B161" i="3"/>
  <c r="B163" i="3"/>
  <c r="F163" i="3" s="1"/>
  <c r="B165" i="3"/>
  <c r="F165" i="3" s="1"/>
  <c r="B166" i="3"/>
  <c r="F166" i="3" s="1"/>
  <c r="B167" i="3"/>
  <c r="F167" i="3" s="1"/>
  <c r="B168" i="3"/>
  <c r="F168" i="3" s="1"/>
  <c r="B169" i="3"/>
  <c r="F169" i="3" s="1"/>
  <c r="B170" i="3"/>
  <c r="F170" i="3" s="1"/>
  <c r="B171" i="3"/>
  <c r="F171" i="3" s="1"/>
  <c r="H159" i="3" l="1"/>
  <c r="B172" i="3"/>
  <c r="F161" i="3"/>
  <c r="F159" i="3" s="1"/>
  <c r="M16" i="6"/>
  <c r="B14" i="6" s="1"/>
  <c r="B24" i="6" s="1"/>
  <c r="E159" i="3"/>
  <c r="D24" i="6" l="1"/>
  <c r="D25" i="6" s="1"/>
  <c r="C24" i="6"/>
  <c r="C25" i="6" s="1"/>
  <c r="F17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tc={862106D6-E945-4773-B456-004386431DE6}</author>
    <author>Jeremy Lea</author>
    <author>tc={EAEC2604-9777-47E5-B036-AD95DADA99D9}</author>
  </authors>
  <commentList>
    <comment ref="J1" authorId="0" shapeId="0" xr:uid="{862106D6-E945-4773-B456-004386431DE6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data, including AASHTO/AI</t>
      </text>
    </comment>
    <comment ref="O47" authorId="1" shapeId="0" xr:uid="{A1C51873-B24B-4C5C-B5A5-6FEE98D4FEFB}">
      <text>
        <r>
          <rPr>
            <b/>
            <sz val="9"/>
            <color indexed="81"/>
            <rFont val="Tahoma"/>
            <family val="2"/>
          </rPr>
          <t>Jeremy Lea:</t>
        </r>
        <r>
          <rPr>
            <sz val="9"/>
            <color indexed="81"/>
            <rFont val="Tahoma"/>
            <family val="2"/>
          </rPr>
          <t xml:space="preserve">
Monteiro
</t>
        </r>
      </text>
    </comment>
    <comment ref="V47" authorId="1" shapeId="0" xr:uid="{6853115F-B496-402D-A8CF-31F9EB2D2F2F}">
      <text>
        <r>
          <rPr>
            <b/>
            <sz val="9"/>
            <color indexed="81"/>
            <rFont val="Tahoma"/>
            <family val="2"/>
          </rPr>
          <t>Jeremy Lea:</t>
        </r>
        <r>
          <rPr>
            <sz val="9"/>
            <color indexed="81"/>
            <rFont val="Tahoma"/>
            <family val="2"/>
          </rPr>
          <t xml:space="preserve">
See Wu (2007)
</t>
        </r>
      </text>
    </comment>
    <comment ref="J67" authorId="1" shapeId="0" xr:uid="{179052B3-4F38-4824-A36F-FEA51943F385}">
      <text>
        <r>
          <rPr>
            <b/>
            <sz val="9"/>
            <color indexed="81"/>
            <rFont val="Tahoma"/>
            <family val="2"/>
          </rPr>
          <t>Jeremy Lea:</t>
        </r>
        <r>
          <rPr>
            <sz val="9"/>
            <color indexed="81"/>
            <rFont val="Tahoma"/>
            <family val="2"/>
          </rPr>
          <t xml:space="preserve">
Fitted to all data
</t>
        </r>
      </text>
    </comment>
    <comment ref="I159" authorId="2" shapeId="0" xr:uid="{EAEC2604-9777-47E5-B036-AD95DADA99D9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original PCA chart with references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 Lea</author>
  </authors>
  <commentList>
    <comment ref="AF17" authorId="0" shapeId="0" xr:uid="{BAD2C767-494B-4896-8A79-EEAE18B489A7}">
      <text>
        <r>
          <rPr>
            <b/>
            <sz val="9"/>
            <color indexed="81"/>
            <rFont val="Tahoma"/>
            <family val="2"/>
          </rPr>
          <t>Jeremy Lea:</t>
        </r>
        <r>
          <rPr>
            <sz val="9"/>
            <color indexed="81"/>
            <rFont val="Tahoma"/>
            <family val="2"/>
          </rPr>
          <t xml:space="preserve">
Unsourced
</t>
        </r>
      </text>
    </comment>
    <comment ref="AH17" authorId="0" shapeId="0" xr:uid="{5095C37E-C94C-4046-BC7A-597F59E63E07}">
      <text>
        <r>
          <rPr>
            <b/>
            <sz val="9"/>
            <color indexed="81"/>
            <rFont val="Tahoma"/>
            <family val="2"/>
          </rPr>
          <t>Jeremy Lea:</t>
        </r>
        <r>
          <rPr>
            <sz val="9"/>
            <color indexed="81"/>
            <rFont val="Tahoma"/>
            <family val="2"/>
          </rPr>
          <t xml:space="preserve">
From CalME?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<sst xmlns="http://schemas.openxmlformats.org/spreadsheetml/2006/main" count="877" uniqueCount="410">
  <si>
    <t>30*1e-9*pow(DSN800,3.5)</t>
  </si>
  <si>
    <t>CBR</t>
  </si>
  <si>
    <t>R-value</t>
  </si>
  <si>
    <t>E-mod (MPa)</t>
  </si>
  <si>
    <t>DN (mm/blow)</t>
  </si>
  <si>
    <t>Putri (2012)</t>
  </si>
  <si>
    <t>CBR-&gt;E-mod (kPa)</t>
  </si>
  <si>
    <r>
      <t>Figure 5-19. Correlations between structural layer coefficient</t>
    </r>
    <r>
      <rPr>
        <b/>
        <sz val="11"/>
        <color rgb="FF333333"/>
        <rFont val="Calibri"/>
        <family val="2"/>
        <scheme val="minor"/>
      </rPr>
      <t> </t>
    </r>
    <r>
      <rPr>
        <b/>
        <i/>
        <sz val="11"/>
        <color rgb="FF333333"/>
        <rFont val="Calibri"/>
        <family val="2"/>
        <scheme val="minor"/>
      </rPr>
      <t>a</t>
    </r>
    <r>
      <rPr>
        <b/>
        <i/>
        <vertAlign val="subscript"/>
        <sz val="9.9"/>
        <color rgb="FF333333"/>
        <rFont val="Calibri"/>
        <family val="2"/>
        <scheme val="minor"/>
      </rPr>
      <t>2</t>
    </r>
    <r>
      <rPr>
        <b/>
        <sz val="11"/>
        <color rgb="FF333333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and various strength and stiffness parameters for unbound granular bases (AASHTO, 1993).</t>
    </r>
  </si>
  <si>
    <t>CBR (Scale derived by averaging correlations obtained from Illinois)</t>
  </si>
  <si>
    <t>Structural Coefficient, a sub 2</t>
  </si>
  <si>
    <t>R-value (Scale derived by averaging correlations obtained from California, New Mexico and Wyoming)</t>
  </si>
  <si>
    <t>Texas Triaxial (Scale derived by averaging correlations obtained from Texas)</t>
  </si>
  <si>
    <t>Modulus - 1000 psi (Scale derived on NCHRP project)</t>
  </si>
  <si>
    <t>NOTE: Soil properties values are approximate and estimated based on the scale for Structural Coefficient, a2, from the original figure included in the FHWA 05-037, May 2006, NHI Course No. 132040, Geotechnical Aspects of Pavements Reference Manual/Participant Workbook</t>
  </si>
  <si>
    <t>USCS Soil Class</t>
  </si>
  <si>
    <t>Field CBR</t>
  </si>
  <si>
    <t>GW</t>
  </si>
  <si>
    <t>GP</t>
  </si>
  <si>
    <t>GM</t>
  </si>
  <si>
    <t>GC</t>
  </si>
  <si>
    <t>SW</t>
  </si>
  <si>
    <t>SP</t>
  </si>
  <si>
    <t>SM</t>
  </si>
  <si>
    <t>SC</t>
  </si>
  <si>
    <t>ML</t>
  </si>
  <si>
    <t>CL</t>
  </si>
  <si>
    <t>OL</t>
  </si>
  <si>
    <t>MH</t>
  </si>
  <si>
    <t>CH</t>
  </si>
  <si>
    <t>OH</t>
  </si>
  <si>
    <t>θ (psi)</t>
  </si>
  <si>
    <r>
      <t>M</t>
    </r>
    <r>
      <rPr>
        <i/>
        <u/>
        <vertAlign val="subscript"/>
        <sz val="9.9"/>
        <color rgb="FFFFFFFF"/>
        <rFont val="Arial"/>
        <family val="2"/>
      </rPr>
      <t>R</t>
    </r>
    <r>
      <rPr>
        <u/>
        <sz val="10"/>
        <color rgb="FFFFFFFF"/>
        <rFont val="Arial"/>
        <family val="2"/>
      </rPr>
      <t> (psi)</t>
    </r>
  </si>
  <si>
    <t>100 740 × CBR</t>
  </si>
  <si>
    <t>1000 + 780 × R</t>
  </si>
  <si>
    <t>440 × CBR</t>
  </si>
  <si>
    <t>1000 + 450 × R</t>
  </si>
  <si>
    <t>340 × CBR</t>
  </si>
  <si>
    <t>1000 + 350 × R</t>
  </si>
  <si>
    <t>250 × CBR</t>
  </si>
  <si>
    <t>1000 + 250 × R</t>
  </si>
  <si>
    <t>R</t>
  </si>
  <si>
    <t>(X.X) = Estimated Value</t>
  </si>
  <si>
    <t>NOTE: Soil properties values are approximate and estimated based on the log scale of Subgrade Resilient Modulus, MR, from the original figure included in the FHWA 05-037, May 2006, NHI Course No. 132040, Geotechnical Aspects of Pavements Reference Manual/Participant Workbook</t>
  </si>
  <si>
    <r>
      <t>Figure 5-17. Correlations between subgrade resilient modulus and other soil properties (1 psi = 6.9 kPa; from Huang, 1993, after Van Til</t>
    </r>
    <r>
      <rPr>
        <b/>
        <sz val="11"/>
        <color rgb="FF333333"/>
        <rFont val="Calibri"/>
        <family val="2"/>
        <scheme val="minor"/>
      </rPr>
      <t> </t>
    </r>
    <r>
      <rPr>
        <b/>
        <i/>
        <sz val="11"/>
        <color rgb="FF333333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>, 1972).</t>
    </r>
  </si>
  <si>
    <t>S, Soil Support Value</t>
  </si>
  <si>
    <t>Modulus, MR (psi)</t>
  </si>
  <si>
    <t>R Value (CA)</t>
  </si>
  <si>
    <t>R Value (WA)</t>
  </si>
  <si>
    <t>CBR (KY)</t>
  </si>
  <si>
    <t>TX triaxial class</t>
  </si>
  <si>
    <t>Group Index</t>
  </si>
  <si>
    <r>
      <t>Table 5-35. Default</t>
    </r>
    <r>
      <rPr>
        <b/>
        <sz val="11"/>
        <color rgb="FF333333"/>
        <rFont val="Calibri"/>
        <family val="2"/>
        <scheme val="minor"/>
      </rPr>
      <t> </t>
    </r>
    <r>
      <rPr>
        <b/>
        <i/>
        <sz val="11"/>
        <color rgb="FF333333"/>
        <rFont val="Calibri"/>
        <family val="2"/>
        <scheme val="minor"/>
      </rPr>
      <t>M</t>
    </r>
    <r>
      <rPr>
        <b/>
        <i/>
        <vertAlign val="subscript"/>
        <sz val="9.9"/>
        <color rgb="FF333333"/>
        <rFont val="Calibri"/>
        <family val="2"/>
        <scheme val="minor"/>
      </rPr>
      <t>R</t>
    </r>
    <r>
      <rPr>
        <b/>
        <sz val="11"/>
        <color rgb="FF333333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values for unbound granular and subgrade materials at unsoaked optimum moisture content and density conditions (NCHRP 1-37A, 2004).</t>
    </r>
  </si>
  <si>
    <t>Material Classification</t>
  </si>
  <si>
    <r>
      <t>M</t>
    </r>
    <r>
      <rPr>
        <b/>
        <i/>
        <vertAlign val="subscript"/>
        <sz val="9.9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 Range (psi)*</t>
    </r>
  </si>
  <si>
    <r>
      <t>Typical </t>
    </r>
    <r>
      <rPr>
        <b/>
        <i/>
        <sz val="10"/>
        <color rgb="FFFFFFFF"/>
        <rFont val="Arial"/>
        <family val="2"/>
      </rPr>
      <t>M</t>
    </r>
    <r>
      <rPr>
        <b/>
        <i/>
        <vertAlign val="subscript"/>
        <sz val="9.9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 (psi)*</t>
    </r>
  </si>
  <si>
    <t>AASHTO Soil Class</t>
  </si>
  <si>
    <t>A-1-a</t>
  </si>
  <si>
    <t>38,500 - 42,000</t>
  </si>
  <si>
    <t>A-1-b</t>
  </si>
  <si>
    <t>35,500 - 40,000</t>
  </si>
  <si>
    <t>A-2-4</t>
  </si>
  <si>
    <t>28,000 - 37,500</t>
  </si>
  <si>
    <t>A-2-5</t>
  </si>
  <si>
    <t>24,000 - 33,000</t>
  </si>
  <si>
    <t>A-2-6</t>
  </si>
  <si>
    <t>21,500 - 31,000</t>
  </si>
  <si>
    <t>A-2-7</t>
  </si>
  <si>
    <t>21,500 - 28,000</t>
  </si>
  <si>
    <t>A-3</t>
  </si>
  <si>
    <t>24,500 - 35,500</t>
  </si>
  <si>
    <t>A-4</t>
  </si>
  <si>
    <t>21,500 - 29,000</t>
  </si>
  <si>
    <t>A-5</t>
  </si>
  <si>
    <t>17,000 - 25,500</t>
  </si>
  <si>
    <t>A-6</t>
  </si>
  <si>
    <t>13,500 - 24,000</t>
  </si>
  <si>
    <t>A-7-5</t>
  </si>
  <si>
    <t>8,000 - 17,500</t>
  </si>
  <si>
    <t>A-7-6</t>
  </si>
  <si>
    <t>5,000 - 13,500</t>
  </si>
  <si>
    <t>39,500 - 42,000</t>
  </si>
  <si>
    <t>33,000 - 42,000</t>
  </si>
  <si>
    <t>24,000 - 37,500</t>
  </si>
  <si>
    <t>GW-GM</t>
  </si>
  <si>
    <t>35,500 - 40,500</t>
  </si>
  <si>
    <t>GP-GM</t>
  </si>
  <si>
    <t>31,000 - 40,000</t>
  </si>
  <si>
    <t>GW-GC</t>
  </si>
  <si>
    <t>28,000 - 40,000</t>
  </si>
  <si>
    <t>GP-GC</t>
  </si>
  <si>
    <t>28,000 - 39,000</t>
  </si>
  <si>
    <t>SW-SM</t>
  </si>
  <si>
    <t>SP-SM</t>
  </si>
  <si>
    <t>SW-SC</t>
  </si>
  <si>
    <t>SP-SC</t>
  </si>
  <si>
    <t>*Multiply by 0.069 to convert to MPa.</t>
  </si>
  <si>
    <t>Razouki&amp;Al-Shefi (2002)</t>
  </si>
  <si>
    <t>CBR-&gt;E-mod (MPa)</t>
  </si>
  <si>
    <t>Razouki&amp;Kuttah (2004)</t>
  </si>
  <si>
    <t>Kleyn (1975)</t>
  </si>
  <si>
    <t>CBR-&gt;UCS(kPa)</t>
  </si>
  <si>
    <t>McElvaney&amp;Djatrika (1991)</t>
  </si>
  <si>
    <t>AASHTO/AI: Heukelom and Klomp (1962)</t>
  </si>
  <si>
    <t>USACE: Green&amp;Hall (1975)</t>
  </si>
  <si>
    <t>KenyaRDM:</t>
  </si>
  <si>
    <t>TRRL/MEPDG: Powell et. al (1984)</t>
  </si>
  <si>
    <t>TACH-MD: Mukabi (2015)</t>
  </si>
  <si>
    <t>UCS (kPa)</t>
  </si>
  <si>
    <t>Patel&amp;Patel (2012)</t>
  </si>
  <si>
    <t>TACH-MD: Mukabi (2004)</t>
  </si>
  <si>
    <t>IDOT</t>
  </si>
  <si>
    <t>CBR (%)</t>
  </si>
  <si>
    <t>DN-&gt;CBR</t>
  </si>
  <si>
    <t>Ese (1994)</t>
  </si>
  <si>
    <t>NCDOT (1998)</t>
  </si>
  <si>
    <t>Coonse (1999)</t>
  </si>
  <si>
    <t>Gabr (2000)</t>
  </si>
  <si>
    <t>ARRB: Smith&amp;Pratt (1983)</t>
  </si>
  <si>
    <t>NCDOT: Wu (1987)</t>
  </si>
  <si>
    <t>USACE: Webster,Grau&amp;Williams (1992)</t>
  </si>
  <si>
    <t>NRRL: Ese (1994)</t>
  </si>
  <si>
    <t>TRRL:</t>
  </si>
  <si>
    <t>DN-&gt;UCS</t>
  </si>
  <si>
    <t>E-mod (Mpa)</t>
  </si>
  <si>
    <t>DN-&gt;Emod (MPa)</t>
  </si>
  <si>
    <t>Chai (1987)</t>
  </si>
  <si>
    <t>CSIR: de Beer (1991)</t>
  </si>
  <si>
    <t>Hassan (1996)</t>
  </si>
  <si>
    <t>Chai (1998)</t>
  </si>
  <si>
    <t>Chen (1999)</t>
  </si>
  <si>
    <t>TACH-MD: Mukabi (2014)</t>
  </si>
  <si>
    <t>Mukabi (2015)</t>
  </si>
  <si>
    <t>Chen (2005)</t>
  </si>
  <si>
    <t>R-&gt;E-mod</t>
  </si>
  <si>
    <t>FHWA (CA from chart)</t>
  </si>
  <si>
    <t>FHWA (WA from chart)</t>
  </si>
  <si>
    <t>FHWA: (KY from chart)</t>
  </si>
  <si>
    <t>X</t>
  </si>
  <si>
    <t>Y</t>
  </si>
  <si>
    <t>Fitted</t>
  </si>
  <si>
    <t>Final Models and Data</t>
  </si>
  <si>
    <t>Farrar from Hines (1978)</t>
  </si>
  <si>
    <t>Farrar (1991)</t>
  </si>
  <si>
    <t>Min</t>
  </si>
  <si>
    <t>Max</t>
  </si>
  <si>
    <t>Avg</t>
  </si>
  <si>
    <t>MEPDG/CalME</t>
  </si>
  <si>
    <t>Caltrans</t>
  </si>
  <si>
    <t>abm_code</t>
  </si>
  <si>
    <t>LTB</t>
  </si>
  <si>
    <t>AS-Class 4</t>
  </si>
  <si>
    <t>CTB</t>
  </si>
  <si>
    <t>FDR-NS</t>
  </si>
  <si>
    <t>LTS</t>
  </si>
  <si>
    <t>ATPB</t>
  </si>
  <si>
    <t>OTS</t>
  </si>
  <si>
    <t>AS-Class 5</t>
  </si>
  <si>
    <t>CTS</t>
  </si>
  <si>
    <t>AS</t>
  </si>
  <si>
    <t>AB</t>
  </si>
  <si>
    <t>AB-Class 2</t>
  </si>
  <si>
    <t>AS-Class 3</t>
  </si>
  <si>
    <t>FDR-FA</t>
  </si>
  <si>
    <t>AB-Class 3</t>
  </si>
  <si>
    <t>AS-Class 1</t>
  </si>
  <si>
    <t>PM</t>
  </si>
  <si>
    <t>CIPR</t>
  </si>
  <si>
    <t>AB-Class 5</t>
  </si>
  <si>
    <t>FDR-PC</t>
  </si>
  <si>
    <t>CTB-Class A</t>
  </si>
  <si>
    <t>AB-Class 4</t>
  </si>
  <si>
    <t>AS-Class 2</t>
  </si>
  <si>
    <t>LCB</t>
  </si>
  <si>
    <t>CTB-PM</t>
  </si>
  <si>
    <t>CTB-Class B</t>
  </si>
  <si>
    <t>CTPB</t>
  </si>
  <si>
    <t>SPT (mm/blow)</t>
  </si>
  <si>
    <t>In-situ CBR (%)</t>
  </si>
  <si>
    <t>Real Measurements</t>
  </si>
  <si>
    <t>Livneh (1989)</t>
  </si>
  <si>
    <t>DN (mm/blow) 30deg</t>
  </si>
  <si>
    <t>A-7-6 (LL=70)</t>
  </si>
  <si>
    <t>A-7-6 (LL=75)</t>
  </si>
  <si>
    <t>DN (mm/blow) 60deg</t>
  </si>
  <si>
    <t>Austroads (30deg)</t>
  </si>
  <si>
    <t>South African (60deg)</t>
  </si>
  <si>
    <t>SPT-&gt;DN</t>
  </si>
  <si>
    <t>SPT-&gt;CBR</t>
  </si>
  <si>
    <t>Soaked CBR (%)</t>
  </si>
  <si>
    <t>MnDOT: Ishai &amp; Livneh (1988)</t>
  </si>
  <si>
    <t>Lab CBR (%) 150mm</t>
  </si>
  <si>
    <t>Nazzal (2003)</t>
  </si>
  <si>
    <t>Lab CBR-&gt; FWD E-mod (MPa)</t>
  </si>
  <si>
    <t>Livneh (1987)</t>
  </si>
  <si>
    <t>Using Livneh correction to 60deg</t>
  </si>
  <si>
    <t>CSIR: Kleyn (1992) based on Kleyn (1975)</t>
  </si>
  <si>
    <t>Kleyn &amp; van Heerden (1983)</t>
  </si>
  <si>
    <t>Harison (1987) Unsoaked</t>
  </si>
  <si>
    <t>Harison (1987) Soaked</t>
  </si>
  <si>
    <t>Soaked CBR</t>
  </si>
  <si>
    <t>DCP-CBR</t>
  </si>
  <si>
    <t>Subgrade</t>
  </si>
  <si>
    <t>Base</t>
  </si>
  <si>
    <t>Wet</t>
  </si>
  <si>
    <t>Dry</t>
  </si>
  <si>
    <t>very dry</t>
  </si>
  <si>
    <t>dry</t>
  </si>
  <si>
    <t>EMC</t>
  </si>
  <si>
    <t>Damp</t>
  </si>
  <si>
    <t>DCP</t>
  </si>
  <si>
    <t>SPT</t>
  </si>
  <si>
    <t>Al-Refeai (1997)</t>
  </si>
  <si>
    <t>Pt</t>
  </si>
  <si>
    <t>CL-ML</t>
  </si>
  <si>
    <t>SC-SM</t>
  </si>
  <si>
    <t>U.S. Army Corps of Engineers (1960), U.S. Army (1997), and U.S. Army and Air Force (1983)</t>
  </si>
  <si>
    <t>U.S. Army, Air Force and Navy (1987), and Portland Cement Association (1992)</t>
  </si>
  <si>
    <t>Rollings and Rollings (1996)</t>
  </si>
  <si>
    <t>National Cooperative Highway Research Program (2004)</t>
  </si>
  <si>
    <t>George (2009)</t>
  </si>
  <si>
    <t>Seyman (2003)</t>
  </si>
  <si>
    <t>Srinivasa (2016)</t>
  </si>
  <si>
    <t>George &amp; Uddin (2000)</t>
  </si>
  <si>
    <t>Kumar (2015)</t>
  </si>
  <si>
    <t>van Vuuren</t>
  </si>
  <si>
    <t>Gebrehiwot (2014)</t>
  </si>
  <si>
    <t>Ponche (1991)</t>
  </si>
  <si>
    <t>Heyn (1986)</t>
  </si>
  <si>
    <t>Oliveria (1997)</t>
  </si>
  <si>
    <t>Cardoso (1998)</t>
  </si>
  <si>
    <t>Monteiro (2016)</t>
  </si>
  <si>
    <t>Subgrade Reaction Modulus</t>
  </si>
  <si>
    <t>Tuleubekov &amp; Brill (2014)</t>
  </si>
  <si>
    <t>FAA: Parker (1977)</t>
  </si>
  <si>
    <t>CBR-&gt;k</t>
  </si>
  <si>
    <t>PCA: Packard (1973)</t>
  </si>
  <si>
    <t>Wilches (2019)</t>
  </si>
  <si>
    <t>Berlau (2008)</t>
  </si>
  <si>
    <t>Yeh &amp; Su (1989)</t>
  </si>
  <si>
    <t>Hill (2009)?</t>
  </si>
  <si>
    <t>Thronton (1983)</t>
  </si>
  <si>
    <t>HDM?</t>
  </si>
  <si>
    <t>R-&gt;CBR</t>
  </si>
  <si>
    <t>Herath (2005)</t>
  </si>
  <si>
    <t>CBR-&gt;K</t>
  </si>
  <si>
    <t>K-value (kPa/mm)</t>
  </si>
  <si>
    <t>Shear Strength (kPa)</t>
  </si>
  <si>
    <t>Lab CBR</t>
  </si>
  <si>
    <t>Black (1962)</t>
  </si>
  <si>
    <t>q_u-&gt;CBR</t>
  </si>
  <si>
    <t>Danistan (2009)</t>
  </si>
  <si>
    <t>CBR-&gt;S_u</t>
  </si>
  <si>
    <t>Schmertmann (1970)</t>
  </si>
  <si>
    <t>CBR-&gt;E-mod (psi)-&gt;(MPa)</t>
  </si>
  <si>
    <t>CBR-&gt;E-mod(MPa)</t>
  </si>
  <si>
    <t>R-&gt;E (psi) -&gt;MPa</t>
  </si>
  <si>
    <t>q_t-&gt;E</t>
  </si>
  <si>
    <t>q_t (CPT)</t>
  </si>
  <si>
    <t>Konrad and Lachance (2001)</t>
  </si>
  <si>
    <t>Median</t>
  </si>
  <si>
    <t>Yoder and Witczak (1975), FAA?</t>
  </si>
  <si>
    <t>Converted E-mod</t>
  </si>
  <si>
    <t>NMDOT</t>
  </si>
  <si>
    <t>TABLE 3 Test Sites and Corresponding Data</t>
  </si>
  <si>
    <t>Sample #</t>
  </si>
  <si>
    <t>Location Desciption</t>
  </si>
  <si>
    <t>CN or Project #</t>
  </si>
  <si>
    <t>Geo-Gauge w/o Sand, k(kip/in)</t>
  </si>
  <si>
    <t>Geo-gauge w/ Sand, k(kip/in)</t>
  </si>
  <si>
    <t>Clegg Hammer, (CIV)</t>
  </si>
  <si>
    <t>DCP DPI-1 (blow/in)</t>
  </si>
  <si>
    <t>Average R-Value (W. Tech)</t>
  </si>
  <si>
    <t>Estimated R-Value (by DOT Method, 50% Reliability)</t>
  </si>
  <si>
    <t>Motel Blvd, Las Cruces, NM</t>
  </si>
  <si>
    <t>CN3448</t>
  </si>
  <si>
    <t>US 70, Ruidoso Downs, NM</t>
  </si>
  <si>
    <t>CN3393</t>
  </si>
  <si>
    <t>Golf Course &amp; Paradise, Abq, NM</t>
  </si>
  <si>
    <t>CN7504</t>
  </si>
  <si>
    <t>NM 63, Rowe, NM</t>
  </si>
  <si>
    <t>CN2075</t>
  </si>
  <si>
    <t>US 54, Santa Rosa, NM</t>
  </si>
  <si>
    <t>CNG3B24</t>
  </si>
  <si>
    <t>Double Eagle Airport</t>
  </si>
  <si>
    <t>DoubleEag</t>
  </si>
  <si>
    <t>I40 and Tramway, Albuquerque, NM</t>
  </si>
  <si>
    <t>CNG1123</t>
  </si>
  <si>
    <t>I40 &amp; Coors, Albuquerque, NM</t>
  </si>
  <si>
    <t>CN G1013</t>
  </si>
  <si>
    <t>NM 300, Old Pecos, Santa Fe</t>
  </si>
  <si>
    <t>CN 2968</t>
  </si>
  <si>
    <t>NM 128, Jal, NM</t>
  </si>
  <si>
    <t>CN G2152</t>
  </si>
  <si>
    <t>NM 209, Tucumcair, NM</t>
  </si>
  <si>
    <t>CN 3157</t>
  </si>
  <si>
    <t>CN G3B24</t>
  </si>
  <si>
    <t>I-40 MP 123</t>
  </si>
  <si>
    <t>CN 1462</t>
  </si>
  <si>
    <t>I-40 MP 122</t>
  </si>
  <si>
    <t>Lee (2014)</t>
  </si>
  <si>
    <t>Abu-Farsakh (2004)</t>
  </si>
  <si>
    <t>E-&gt;CBR</t>
  </si>
  <si>
    <t>Arshad (2018)</t>
  </si>
  <si>
    <t>slCBR-&gt;fCBR</t>
  </si>
  <si>
    <t>Behera (2012)</t>
  </si>
  <si>
    <t>Assume S_r=50%, or OMC</t>
  </si>
  <si>
    <t>moderate</t>
  </si>
  <si>
    <t>CSIR</t>
  </si>
  <si>
    <t>Table 2. Results Obtained from experimental investigation</t>
  </si>
  <si>
    <t>Type of Location</t>
  </si>
  <si>
    <t>IS Classification</t>
  </si>
  <si>
    <t>Maximum Dry Density (KN/m3)</t>
  </si>
  <si>
    <t>Optimum Moisture Content (%)</t>
  </si>
  <si>
    <t>K-value from PBT (N/mm2/mm)</t>
  </si>
  <si>
    <t>UCS (N/mm2)</t>
  </si>
  <si>
    <t>DCP (mm/blow)</t>
  </si>
  <si>
    <t>Surat-Ankleshwar Road-44/0 Km</t>
  </si>
  <si>
    <t>Surat-Ankleshwar Road-40/0 Km</t>
  </si>
  <si>
    <t>Jamnagar</t>
  </si>
  <si>
    <t>Ankleshwar</t>
  </si>
  <si>
    <t>CI</t>
  </si>
  <si>
    <t>Jambusar GIDC Road No.-1</t>
  </si>
  <si>
    <t>MI</t>
  </si>
  <si>
    <t>Kheda</t>
  </si>
  <si>
    <t>Dhandhuka</t>
  </si>
  <si>
    <t>Jambusar GIDC Road No.-2</t>
  </si>
  <si>
    <t>Vadodara Bharuch Road Km-97/00</t>
  </si>
  <si>
    <t>Surat Ankleshwar Raod-Km-42/0</t>
  </si>
  <si>
    <t>Surat Ankleshwar Raod-Km-61/0</t>
  </si>
  <si>
    <t>Ahmedabad Viramgam Maliya Km-60/0</t>
  </si>
  <si>
    <t>Ahmedabad Viramgam Maliya Km-155</t>
  </si>
  <si>
    <t>Ahmedabad Viramgam Maliya Km-183/00</t>
  </si>
  <si>
    <t>Vadodara Bharuch Road Km-61/00</t>
  </si>
  <si>
    <t>Sudhi Samni Road-Km-2/0</t>
  </si>
  <si>
    <t>Piludra-kareli Km-14/0</t>
  </si>
  <si>
    <t>Piludra-kareli Km-18/0</t>
  </si>
  <si>
    <t>Netrang Rajpipla Road</t>
  </si>
  <si>
    <t>Ahmedabad-Viramgam-Maliya Km-99/0</t>
  </si>
  <si>
    <t>Ahmedabad-Viramgam-Maliya Km-90/0</t>
  </si>
  <si>
    <t>Ahmedabad-Viramgam-Maliya Km-40/0</t>
  </si>
  <si>
    <t>Piludra-Kareli Road Km-16/0</t>
  </si>
  <si>
    <t>SM-SC</t>
  </si>
  <si>
    <t>Modasa</t>
  </si>
  <si>
    <t>Ahmedabad-Viramgam-Maliya-Km-30/0</t>
  </si>
  <si>
    <t>Ahmedabad-Viramgam-Maliya-Km-22/0</t>
  </si>
  <si>
    <t>Ahmedabad</t>
  </si>
  <si>
    <t>Patel &amp; Patel</t>
  </si>
  <si>
    <t>Patel (2012)</t>
  </si>
  <si>
    <t>DN-CBR</t>
  </si>
  <si>
    <t>Patel&amp;Patel(2013)</t>
  </si>
  <si>
    <t>Adibako (2017)</t>
  </si>
  <si>
    <t>DoD? (Kessler)</t>
  </si>
  <si>
    <t>MnDOT</t>
  </si>
  <si>
    <t>MR Range (ksi)</t>
  </si>
  <si>
    <t>MR Default (ksi)</t>
  </si>
  <si>
    <t>Kaur (2012)</t>
  </si>
  <si>
    <t>CBR_s-&gt;CBR_s</t>
  </si>
  <si>
    <t>PCA chart</t>
  </si>
  <si>
    <t>Funky Chart</t>
  </si>
  <si>
    <t>PCA Chart</t>
  </si>
  <si>
    <t>Error</t>
  </si>
  <si>
    <t>Fit</t>
  </si>
  <si>
    <t>CBR_s</t>
  </si>
  <si>
    <t>Final</t>
  </si>
  <si>
    <t>CalME</t>
  </si>
  <si>
    <t>K (kN/m3)-&gt;CBR</t>
  </si>
  <si>
    <t>k (kPa/mm)</t>
  </si>
  <si>
    <t>CBR-&gt;E-mod (ksi)-&gt;(MPa)</t>
  </si>
  <si>
    <t>GaDOT: (George 2004)</t>
  </si>
  <si>
    <t>NAASRA (1950) (Putri)</t>
  </si>
  <si>
    <t>CBR-&gt;E</t>
  </si>
  <si>
    <t>Arshad et.al. (2018)</t>
  </si>
  <si>
    <t>Unsoaked CBR (%)</t>
  </si>
  <si>
    <t>Lab CBR (%)</t>
  </si>
  <si>
    <t>ulCBR-&gt;slCBR</t>
  </si>
  <si>
    <t>CBR_u</t>
  </si>
  <si>
    <t>ulCBR-&gt;fCBR</t>
  </si>
  <si>
    <t>CBR-&gt;DN</t>
  </si>
  <si>
    <t>Emery (1988)</t>
  </si>
  <si>
    <t>CSIR: Emery (1988)</t>
  </si>
  <si>
    <t>k-Value (kPa/mm)</t>
  </si>
  <si>
    <t>DN</t>
  </si>
  <si>
    <t>E-Mod (Mpa)</t>
  </si>
  <si>
    <t>AASHTO</t>
  </si>
  <si>
    <t>MEPDG</t>
  </si>
  <si>
    <t>E (psi) -&gt; k (pci)</t>
  </si>
  <si>
    <t>E-&gt;k</t>
  </si>
  <si>
    <t>Ping &amp; Sheng (2011)</t>
  </si>
  <si>
    <t>N60-&gt;CBR</t>
  </si>
  <si>
    <t>Gul &amp; Cayir (2020)</t>
  </si>
  <si>
    <t>0.006+1.092*</t>
  </si>
  <si>
    <t>Sampson (1984)</t>
  </si>
  <si>
    <t>Paige-Green (2015)</t>
  </si>
  <si>
    <t>Gudishala (2004)</t>
  </si>
  <si>
    <t>Mohammed (2007)</t>
  </si>
  <si>
    <t>Abu-Farsakh (2005)</t>
  </si>
  <si>
    <t>UCS-&gt;CBR</t>
  </si>
  <si>
    <t>OFlaherty1961</t>
  </si>
  <si>
    <t>Rao (2008)</t>
  </si>
  <si>
    <t>Kumar (2003)</t>
  </si>
  <si>
    <t>Webster (1994)</t>
  </si>
  <si>
    <t>AI</t>
  </si>
  <si>
    <t>Parker (1979)</t>
  </si>
  <si>
    <t>k (pci) -&gt; E (psi)</t>
  </si>
  <si>
    <t>Lavoie (2005) via Roy</t>
  </si>
  <si>
    <t>Buu (1980)</t>
  </si>
  <si>
    <t>Washington via Mokwa (2009)</t>
  </si>
  <si>
    <t>Chang (1995)</t>
  </si>
  <si>
    <t>CODOT via Mokwa (2009)</t>
  </si>
  <si>
    <t>Fleming &amp; Rogers (1990) via Dawson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</si>
</sst>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9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b/>
      <i/>
      <vertAlign val="subscript"/>
      <sz val="9.9"/>
      <color rgb="FF333333"/>
      <name val="Calibri"/>
      <family val="2"/>
      <scheme val="minor"/>
    </font>
    <font>
      <b/>
      <sz val="11"/>
      <color rgb="FFFFFFFF"/>
      <name val="Arial"/>
      <family val="2"/>
    </font>
    <font>
      <sz val="9.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u/>
      <sz val="10"/>
      <color rgb="FFFFFFFF"/>
      <name val="Arial"/>
      <family val="2"/>
    </font>
    <font>
      <i/>
      <u/>
      <sz val="10"/>
      <color rgb="FFFFFFFF"/>
      <name val="Arial"/>
      <family val="2"/>
    </font>
    <font>
      <i/>
      <u/>
      <vertAlign val="subscript"/>
      <sz val="9.9"/>
      <color rgb="FFFFFFFF"/>
      <name val="Arial"/>
      <family val="2"/>
    </font>
    <font>
      <b/>
      <i/>
      <sz val="10"/>
      <color rgb="FFFFFFFF"/>
      <name val="Arial"/>
      <family val="2"/>
    </font>
    <font>
      <b/>
      <i/>
      <vertAlign val="subscript"/>
      <sz val="9.9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64D73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4" fillId="3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center" vertical="top" wrapText="1"/>
    </xf>
    <xf numFmtId="3" fontId="8" fillId="2" borderId="1" xfId="0" applyNumberFormat="1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3" fontId="8" fillId="2" borderId="7" xfId="0" applyNumberFormat="1" applyFont="1" applyFill="1" applyBorder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1" xfId="0" quotePrefix="1" applyNumberFormat="1" applyFont="1" applyFill="1" applyBorder="1" applyAlignment="1">
      <alignment horizontal="center" vertical="top" wrapText="1"/>
    </xf>
    <xf numFmtId="0" fontId="6" fillId="2" borderId="4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6" fillId="2" borderId="7" xfId="0" applyNumberFormat="1" applyFont="1" applyFill="1" applyBorder="1" applyAlignment="1">
      <alignment horizontal="center" vertical="top" wrapText="1"/>
    </xf>
    <xf numFmtId="0" fontId="0" fillId="0" borderId="0" xfId="0" applyBorder="1"/>
    <xf numFmtId="164" fontId="0" fillId="0" borderId="0" xfId="0" applyNumberFormat="1" applyBorder="1"/>
    <xf numFmtId="0" fontId="0" fillId="0" borderId="15" xfId="0" applyBorder="1"/>
    <xf numFmtId="0" fontId="0" fillId="5" borderId="0" xfId="0" applyFill="1" applyBorder="1"/>
    <xf numFmtId="0" fontId="0" fillId="5" borderId="15" xfId="0" applyFill="1" applyBorder="1"/>
    <xf numFmtId="0" fontId="0" fillId="5" borderId="0" xfId="0" applyFill="1"/>
    <xf numFmtId="164" fontId="0" fillId="0" borderId="15" xfId="0" applyNumberFormat="1" applyBorder="1"/>
    <xf numFmtId="0" fontId="0" fillId="0" borderId="16" xfId="0" applyBorder="1"/>
    <xf numFmtId="3" fontId="0" fillId="0" borderId="0" xfId="0" applyNumberFormat="1"/>
    <xf numFmtId="0" fontId="0" fillId="0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4" fillId="0" borderId="0" xfId="0" applyFont="1" applyAlignment="1">
      <alignment horizontal="center" wrapText="1"/>
    </xf>
    <xf numFmtId="0" fontId="0" fillId="7" borderId="0" xfId="0" applyFill="1"/>
    <xf numFmtId="0" fontId="0" fillId="8" borderId="0" xfId="0" applyFill="1"/>
    <xf numFmtId="0" fontId="0" fillId="0" borderId="16" xfId="0" applyFill="1" applyBorder="1"/>
    <xf numFmtId="0" fontId="0" fillId="0" borderId="0" xfId="0" applyFill="1"/>
    <xf numFmtId="0" fontId="0" fillId="0" borderId="15" xfId="0" applyFill="1" applyBorder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8" fillId="2" borderId="0" xfId="0" quotePrefix="1" applyNumberFormat="1" applyFont="1" applyFill="1" applyBorder="1" applyAlignment="1">
      <alignment horizontal="center" vertical="top" wrapText="1"/>
    </xf>
    <xf numFmtId="0" fontId="14" fillId="5" borderId="0" xfId="0" applyFont="1" applyFill="1" applyAlignment="1">
      <alignment horizontal="center" wrapText="1"/>
    </xf>
    <xf numFmtId="0" fontId="0" fillId="6" borderId="0" xfId="0" applyFill="1" applyBorder="1"/>
    <xf numFmtId="0" fontId="14" fillId="0" borderId="0" xfId="0" applyFont="1" applyAlignment="1">
      <alignment horizontal="center" wrapText="1"/>
    </xf>
    <xf numFmtId="1" fontId="0" fillId="0" borderId="0" xfId="0" applyNumberFormat="1"/>
    <xf numFmtId="0" fontId="14" fillId="0" borderId="0" xfId="0" applyFont="1"/>
    <xf numFmtId="0" fontId="14" fillId="0" borderId="0" xfId="0" applyFont="1" applyBorder="1"/>
    <xf numFmtId="0" fontId="0" fillId="9" borderId="0" xfId="0" applyFill="1" applyBorder="1"/>
    <xf numFmtId="0" fontId="14" fillId="0" borderId="0" xfId="0" applyFont="1" applyFill="1" applyBorder="1"/>
    <xf numFmtId="0" fontId="0" fillId="9" borderId="16" xfId="0" applyFill="1" applyBorder="1"/>
    <xf numFmtId="0" fontId="14" fillId="7" borderId="16" xfId="0" applyFont="1" applyFill="1" applyBorder="1"/>
    <xf numFmtId="0" fontId="14" fillId="8" borderId="16" xfId="0" applyFont="1" applyFill="1" applyBorder="1"/>
    <xf numFmtId="0" fontId="14" fillId="0" borderId="16" xfId="0" applyFont="1" applyFill="1" applyBorder="1"/>
    <xf numFmtId="0" fontId="14" fillId="0" borderId="16" xfId="0" applyFont="1" applyBorder="1"/>
    <xf numFmtId="0" fontId="14" fillId="7" borderId="0" xfId="0" applyFont="1" applyFill="1" applyBorder="1"/>
    <xf numFmtId="0" fontId="0" fillId="0" borderId="15" xfId="0" quotePrefix="1" applyBorder="1"/>
    <xf numFmtId="0" fontId="14" fillId="7" borderId="0" xfId="0" applyFont="1" applyFill="1"/>
    <xf numFmtId="0" fontId="14" fillId="6" borderId="16" xfId="0" applyFont="1" applyFill="1" applyBorder="1"/>
    <xf numFmtId="0" fontId="17" fillId="0" borderId="0" xfId="0" applyFont="1" applyBorder="1"/>
    <xf numFmtId="0" fontId="17" fillId="0" borderId="16" xfId="0" applyFont="1" applyBorder="1"/>
    <xf numFmtId="0" fontId="17" fillId="8" borderId="0" xfId="0" applyFont="1" applyFill="1"/>
    <xf numFmtId="0" fontId="17" fillId="0" borderId="16" xfId="0" applyFont="1" applyFill="1" applyBorder="1"/>
    <xf numFmtId="0" fontId="18" fillId="0" borderId="0" xfId="0" applyFont="1" applyBorder="1"/>
    <xf numFmtId="0" fontId="0" fillId="8" borderId="0" xfId="0" applyFont="1" applyFill="1" applyBorder="1"/>
    <xf numFmtId="0" fontId="14" fillId="6" borderId="0" xfId="0" applyFont="1" applyFill="1" applyBorder="1"/>
    <xf numFmtId="165" fontId="0" fillId="6" borderId="0" xfId="0" applyNumberFormat="1" applyFill="1"/>
    <xf numFmtId="165" fontId="0" fillId="0" borderId="0" xfId="0" applyNumberFormat="1"/>
    <xf numFmtId="0" fontId="0" fillId="0" borderId="0" xfId="0" applyNumberFormat="1"/>
    <xf numFmtId="0" fontId="8" fillId="2" borderId="4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12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13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6" fillId="2" borderId="5" xfId="0" applyNumberFormat="1" applyFont="1" applyFill="1" applyBorder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6" fillId="2" borderId="12" xfId="0" applyNumberFormat="1" applyFont="1" applyFill="1" applyBorder="1" applyAlignment="1">
      <alignment horizontal="center" vertical="top" wrapText="1"/>
    </xf>
    <xf numFmtId="0" fontId="6" fillId="2" borderId="0" xfId="0" applyNumberFormat="1" applyFont="1" applyFill="1" applyBorder="1" applyAlignment="1">
      <alignment horizontal="center" vertical="top" wrapText="1"/>
    </xf>
    <xf numFmtId="0" fontId="6" fillId="2" borderId="3" xfId="0" applyNumberFormat="1" applyFont="1" applyFill="1" applyBorder="1" applyAlignment="1">
      <alignment horizontal="center" vertical="top" wrapText="1"/>
    </xf>
    <xf numFmtId="0" fontId="6" fillId="2" borderId="13" xfId="0" applyNumberFormat="1" applyFont="1" applyFill="1" applyBorder="1" applyAlignment="1">
      <alignment horizontal="center" vertical="top" wrapText="1"/>
    </xf>
    <xf numFmtId="0" fontId="6" fillId="2" borderId="8" xfId="0" applyNumberFormat="1" applyFont="1" applyFill="1" applyBorder="1" applyAlignment="1">
      <alignment horizontal="center" vertical="top" wrapText="1"/>
    </xf>
    <xf numFmtId="0" fontId="6" fillId="2" borderId="9" xfId="0" applyNumberFormat="1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8" fillId="4" borderId="10" xfId="0" applyFont="1" applyFill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0" fontId="8" fillId="4" borderId="7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Construction Traffic TI=3.5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ASB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78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1.17</c:v>
                </c:pt>
                <c:pt idx="1">
                  <c:v>1.0899999999999999</c:v>
                </c:pt>
                <c:pt idx="2">
                  <c:v>1.0100000000000002</c:v>
                </c:pt>
                <c:pt idx="3">
                  <c:v>0.93</c:v>
                </c:pt>
                <c:pt idx="4">
                  <c:v>0.85</c:v>
                </c:pt>
                <c:pt idx="5">
                  <c:v>0.77000000000000013</c:v>
                </c:pt>
                <c:pt idx="6">
                  <c:v>0.69000000000000006</c:v>
                </c:pt>
                <c:pt idx="7">
                  <c:v>0.61</c:v>
                </c:pt>
                <c:pt idx="8">
                  <c:v>0.53</c:v>
                </c:pt>
                <c:pt idx="9">
                  <c:v>0.45000000000000007</c:v>
                </c:pt>
                <c:pt idx="10">
                  <c:v>2.0000000000000018E-3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1-401C-A0D9-F095255A9039}"/>
            </c:ext>
          </c:extLst>
        </c:ser>
        <c:ser>
          <c:idx val="1"/>
          <c:order val="1"/>
          <c:tx>
            <c:v>AB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78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1.0636363636363635</c:v>
                </c:pt>
                <c:pt idx="1">
                  <c:v>0.99090909090909074</c:v>
                </c:pt>
                <c:pt idx="2">
                  <c:v>0.91818181818181832</c:v>
                </c:pt>
                <c:pt idx="3">
                  <c:v>0.84545454545454546</c:v>
                </c:pt>
                <c:pt idx="4">
                  <c:v>0.7727272727272726</c:v>
                </c:pt>
                <c:pt idx="5">
                  <c:v>0.70000000000000007</c:v>
                </c:pt>
                <c:pt idx="6">
                  <c:v>0.62727272727272732</c:v>
                </c:pt>
                <c:pt idx="7">
                  <c:v>0.55454545454545445</c:v>
                </c:pt>
                <c:pt idx="8">
                  <c:v>0.48181818181818181</c:v>
                </c:pt>
                <c:pt idx="9">
                  <c:v>0.40909090909090912</c:v>
                </c:pt>
                <c:pt idx="10">
                  <c:v>1.8181818181818197E-3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1-401C-A0D9-F095255A9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36943"/>
        <c:axId val="512377535"/>
      </c:scatterChart>
      <c:valAx>
        <c:axId val="118243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77535"/>
        <c:crosses val="autoZero"/>
        <c:crossBetween val="midCat"/>
      </c:valAx>
      <c:valAx>
        <c:axId val="51237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Required Cover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43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339768109191116"/>
          <c:y val="0.13234834834834835"/>
          <c:w val="7.91051630491581E-2"/>
          <c:h val="0.1101212078219952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14671243017706E-2"/>
          <c:y val="0.11823490813648292"/>
          <c:w val="0.89374823339390264"/>
          <c:h val="0.86057578740157481"/>
        </c:manualLayout>
      </c:layout>
      <c:scatterChart>
        <c:scatterStyle val="lineMarker"/>
        <c:varyColors val="0"/>
        <c:ser>
          <c:idx val="2"/>
          <c:order val="0"/>
          <c:tx>
            <c:v>Required DPI Profile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Sheet1!$U$2:$U$18</c:f>
              <c:numCache>
                <c:formatCode>General</c:formatCode>
                <c:ptCount val="17"/>
                <c:pt idx="0">
                  <c:v>5.1823155646677268</c:v>
                </c:pt>
                <c:pt idx="1">
                  <c:v>8.0603361886722045</c:v>
                </c:pt>
                <c:pt idx="2">
                  <c:v>11.571401404666551</c:v>
                </c:pt>
                <c:pt idx="3">
                  <c:v>15.715511212650771</c:v>
                </c:pt>
                <c:pt idx="4">
                  <c:v>20.492665612624865</c:v>
                </c:pt>
                <c:pt idx="5">
                  <c:v>25.902864604588824</c:v>
                </c:pt>
                <c:pt idx="6">
                  <c:v>31.946108188542667</c:v>
                </c:pt>
                <c:pt idx="7">
                  <c:v>38.622396364486363</c:v>
                </c:pt>
                <c:pt idx="8">
                  <c:v>45.931729132419946</c:v>
                </c:pt>
                <c:pt idx="9">
                  <c:v>53.874106492343387</c:v>
                </c:pt>
                <c:pt idx="10">
                  <c:v>62.449528444256714</c:v>
                </c:pt>
                <c:pt idx="11">
                  <c:v>71.657994988159885</c:v>
                </c:pt>
                <c:pt idx="12">
                  <c:v>81.499506124052957</c:v>
                </c:pt>
                <c:pt idx="13">
                  <c:v>91.974061851935886</c:v>
                </c:pt>
                <c:pt idx="14">
                  <c:v>103.08166217180869</c:v>
                </c:pt>
                <c:pt idx="15">
                  <c:v>114.82230708367139</c:v>
                </c:pt>
                <c:pt idx="16">
                  <c:v>127.19599658752392</c:v>
                </c:pt>
              </c:numCache>
            </c:numRef>
          </c:xVal>
          <c:yVal>
            <c:numRef>
              <c:f>Sheet1!$P$2:$P$18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BC-41D6-883B-E977053F20FC}"/>
            </c:ext>
          </c:extLst>
        </c:ser>
        <c:ser>
          <c:idx val="0"/>
          <c:order val="1"/>
          <c:tx>
            <c:v>Measured/Approximated In-situ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Sheet1!$Q$25:$Q$38</c:f>
              <c:numCache>
                <c:formatCode>General</c:formatCode>
                <c:ptCount val="14"/>
                <c:pt idx="0">
                  <c:v>19.263952774988418</c:v>
                </c:pt>
                <c:pt idx="1">
                  <c:v>19.263952774988418</c:v>
                </c:pt>
                <c:pt idx="2">
                  <c:v>19.263952774988418</c:v>
                </c:pt>
                <c:pt idx="3">
                  <c:v>19.263952774988418</c:v>
                </c:pt>
                <c:pt idx="4">
                  <c:v>19.263952774988418</c:v>
                </c:pt>
                <c:pt idx="5">
                  <c:v>29.206965589693802</c:v>
                </c:pt>
                <c:pt idx="6">
                  <c:v>29.206965589693802</c:v>
                </c:pt>
                <c:pt idx="7">
                  <c:v>29.206965589693802</c:v>
                </c:pt>
                <c:pt idx="8">
                  <c:v>29.206965589693802</c:v>
                </c:pt>
                <c:pt idx="9">
                  <c:v>29.206965589693802</c:v>
                </c:pt>
                <c:pt idx="10">
                  <c:v>42.790811126667968</c:v>
                </c:pt>
                <c:pt idx="11">
                  <c:v>42.790811126667968</c:v>
                </c:pt>
                <c:pt idx="12">
                  <c:v>42.790811126667968</c:v>
                </c:pt>
                <c:pt idx="13">
                  <c:v>42.790811126667968</c:v>
                </c:pt>
              </c:numCache>
            </c:numRef>
          </c:xVal>
          <c:yVal>
            <c:numRef>
              <c:f>Sheet1!$O$25:$O$38</c:f>
              <c:numCache>
                <c:formatCode>General</c:formatCode>
                <c:ptCount val="14"/>
                <c:pt idx="0">
                  <c:v>0</c:v>
                </c:pt>
                <c:pt idx="1">
                  <c:v>50.8</c:v>
                </c:pt>
                <c:pt idx="2">
                  <c:v>101.6</c:v>
                </c:pt>
                <c:pt idx="3">
                  <c:v>152.39999999999998</c:v>
                </c:pt>
                <c:pt idx="4">
                  <c:v>243.84000000000003</c:v>
                </c:pt>
                <c:pt idx="5">
                  <c:v>243.84000000000003</c:v>
                </c:pt>
                <c:pt idx="6">
                  <c:v>254</c:v>
                </c:pt>
                <c:pt idx="7">
                  <c:v>304.79999999999995</c:v>
                </c:pt>
                <c:pt idx="8">
                  <c:v>355.59999999999997</c:v>
                </c:pt>
                <c:pt idx="9">
                  <c:v>457.2</c:v>
                </c:pt>
                <c:pt idx="10">
                  <c:v>457.2</c:v>
                </c:pt>
                <c:pt idx="11">
                  <c:v>508</c:v>
                </c:pt>
                <c:pt idx="12">
                  <c:v>558.79999999999995</c:v>
                </c:pt>
                <c:pt idx="13">
                  <c:v>558.79999999999995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BC-41D6-883B-E977053F20FC}"/>
            </c:ext>
          </c:extLst>
        </c:ser>
        <c:ser>
          <c:idx val="1"/>
          <c:order val="2"/>
          <c:tx>
            <c:v>Shifted with Added Layer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Sheet1!$Q$23:$Q$38</c:f>
              <c:numCache>
                <c:formatCode>General</c:formatCode>
                <c:ptCount val="16"/>
                <c:pt idx="0">
                  <c:v>5.2197820564392954</c:v>
                </c:pt>
                <c:pt idx="1">
                  <c:v>5.2197820564392954</c:v>
                </c:pt>
                <c:pt idx="2">
                  <c:v>19.263952774988418</c:v>
                </c:pt>
                <c:pt idx="3">
                  <c:v>19.263952774988418</c:v>
                </c:pt>
                <c:pt idx="4">
                  <c:v>19.263952774988418</c:v>
                </c:pt>
                <c:pt idx="5">
                  <c:v>19.263952774988418</c:v>
                </c:pt>
                <c:pt idx="6">
                  <c:v>19.263952774988418</c:v>
                </c:pt>
                <c:pt idx="7">
                  <c:v>29.206965589693802</c:v>
                </c:pt>
                <c:pt idx="8">
                  <c:v>29.206965589693802</c:v>
                </c:pt>
                <c:pt idx="9">
                  <c:v>29.206965589693802</c:v>
                </c:pt>
                <c:pt idx="10">
                  <c:v>29.206965589693802</c:v>
                </c:pt>
                <c:pt idx="11">
                  <c:v>29.206965589693802</c:v>
                </c:pt>
                <c:pt idx="12">
                  <c:v>42.790811126667968</c:v>
                </c:pt>
                <c:pt idx="13">
                  <c:v>42.790811126667968</c:v>
                </c:pt>
                <c:pt idx="14">
                  <c:v>42.790811126667968</c:v>
                </c:pt>
                <c:pt idx="15">
                  <c:v>42.790811126667968</c:v>
                </c:pt>
              </c:numCache>
            </c:numRef>
          </c:xVal>
          <c:yVal>
            <c:numRef>
              <c:f>Sheet1!$S$23:$S$38</c:f>
              <c:numCache>
                <c:formatCode>General</c:formatCode>
                <c:ptCount val="16"/>
                <c:pt idx="0">
                  <c:v>0</c:v>
                </c:pt>
                <c:pt idx="1">
                  <c:v>198.12</c:v>
                </c:pt>
                <c:pt idx="2">
                  <c:v>198.12</c:v>
                </c:pt>
                <c:pt idx="3">
                  <c:v>248.92000000000002</c:v>
                </c:pt>
                <c:pt idx="4">
                  <c:v>299.72000000000003</c:v>
                </c:pt>
                <c:pt idx="5">
                  <c:v>350.51999999999992</c:v>
                </c:pt>
                <c:pt idx="6">
                  <c:v>441.96000000000004</c:v>
                </c:pt>
                <c:pt idx="7">
                  <c:v>441.96000000000004</c:v>
                </c:pt>
                <c:pt idx="8">
                  <c:v>452.12</c:v>
                </c:pt>
                <c:pt idx="9">
                  <c:v>502.9199999999999</c:v>
                </c:pt>
                <c:pt idx="10">
                  <c:v>553.72</c:v>
                </c:pt>
                <c:pt idx="11">
                  <c:v>655.31999999999994</c:v>
                </c:pt>
                <c:pt idx="12">
                  <c:v>655.31999999999994</c:v>
                </c:pt>
                <c:pt idx="13">
                  <c:v>706.12000000000012</c:v>
                </c:pt>
                <c:pt idx="14">
                  <c:v>756.92</c:v>
                </c:pt>
                <c:pt idx="15">
                  <c:v>756.92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BC-41D6-883B-E977053F20FC}"/>
            </c:ext>
          </c:extLst>
        </c:ser>
        <c:ser>
          <c:idx val="3"/>
          <c:order val="3"/>
          <c:tx>
            <c:v>Alternative added Layers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Sheet1!$U$21:$U$38</c:f>
              <c:numCache>
                <c:formatCode>General</c:formatCode>
                <c:ptCount val="18"/>
                <c:pt idx="0">
                  <c:v>5.2197820564392954</c:v>
                </c:pt>
                <c:pt idx="1">
                  <c:v>5.2197820564392954</c:v>
                </c:pt>
                <c:pt idx="2">
                  <c:v>11.594645746301076</c:v>
                </c:pt>
                <c:pt idx="3">
                  <c:v>11.594645746301076</c:v>
                </c:pt>
                <c:pt idx="4">
                  <c:v>19.263952774988418</c:v>
                </c:pt>
                <c:pt idx="5">
                  <c:v>19.263952774988418</c:v>
                </c:pt>
                <c:pt idx="6">
                  <c:v>19.263952774988418</c:v>
                </c:pt>
                <c:pt idx="7">
                  <c:v>19.263952774988418</c:v>
                </c:pt>
                <c:pt idx="8">
                  <c:v>19.263952774988418</c:v>
                </c:pt>
                <c:pt idx="9">
                  <c:v>29.206965589693802</c:v>
                </c:pt>
                <c:pt idx="10">
                  <c:v>29.206965589693802</c:v>
                </c:pt>
                <c:pt idx="11">
                  <c:v>29.206965589693802</c:v>
                </c:pt>
                <c:pt idx="12">
                  <c:v>29.206965589693802</c:v>
                </c:pt>
                <c:pt idx="13">
                  <c:v>29.206965589693802</c:v>
                </c:pt>
                <c:pt idx="14">
                  <c:v>42.790811126667968</c:v>
                </c:pt>
                <c:pt idx="15">
                  <c:v>42.790811126667968</c:v>
                </c:pt>
                <c:pt idx="16">
                  <c:v>42.790811126667968</c:v>
                </c:pt>
                <c:pt idx="17">
                  <c:v>42.790811126667968</c:v>
                </c:pt>
              </c:numCache>
            </c:numRef>
          </c:xVal>
          <c:yVal>
            <c:numRef>
              <c:f>Sheet1!$W$21:$W$38</c:f>
              <c:numCache>
                <c:formatCode>General</c:formatCode>
                <c:ptCount val="18"/>
                <c:pt idx="0">
                  <c:v>0</c:v>
                </c:pt>
                <c:pt idx="1">
                  <c:v>106.67999999999998</c:v>
                </c:pt>
                <c:pt idx="2">
                  <c:v>106.67999999999998</c:v>
                </c:pt>
                <c:pt idx="3">
                  <c:v>198.12</c:v>
                </c:pt>
                <c:pt idx="4">
                  <c:v>198.12</c:v>
                </c:pt>
                <c:pt idx="5">
                  <c:v>248.92000000000002</c:v>
                </c:pt>
                <c:pt idx="6">
                  <c:v>299.72000000000003</c:v>
                </c:pt>
                <c:pt idx="7">
                  <c:v>350.51999999999992</c:v>
                </c:pt>
                <c:pt idx="8">
                  <c:v>441.96000000000004</c:v>
                </c:pt>
                <c:pt idx="9">
                  <c:v>441.96000000000004</c:v>
                </c:pt>
                <c:pt idx="10">
                  <c:v>452.12</c:v>
                </c:pt>
                <c:pt idx="11">
                  <c:v>502.9199999999999</c:v>
                </c:pt>
                <c:pt idx="12">
                  <c:v>553.72</c:v>
                </c:pt>
                <c:pt idx="13">
                  <c:v>655.31999999999994</c:v>
                </c:pt>
                <c:pt idx="14">
                  <c:v>655.31999999999994</c:v>
                </c:pt>
                <c:pt idx="15">
                  <c:v>706.12000000000012</c:v>
                </c:pt>
                <c:pt idx="16">
                  <c:v>756.92</c:v>
                </c:pt>
                <c:pt idx="17">
                  <c:v>756.92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BC-41D6-883B-E977053F2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01615"/>
        <c:axId val="274680095"/>
      </c:scatterChart>
      <c:valAx>
        <c:axId val="1191301615"/>
        <c:scaling>
          <c:logBase val="10"/>
          <c:orientation val="maxMin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80095"/>
        <c:crosses val="autoZero"/>
        <c:crossBetween val="midCat"/>
      </c:valAx>
      <c:valAx>
        <c:axId val="274680095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Depth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01615"/>
        <c:crosses val="max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r"/>
      <c:layout>
        <c:manualLayout>
          <c:xMode val="edge"/>
          <c:yMode val="edge"/>
          <c:x val="0.615232053579851"/>
          <c:y val="0.7394562007874016"/>
          <c:w val="0.35336917019987885"/>
          <c:h val="0.22659722222222223"/>
        </c:manualLayout>
      </c:layout>
      <c:overlay val="1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14671243017706E-2"/>
          <c:y val="0.11823490813648292"/>
          <c:w val="0.89374823339390264"/>
          <c:h val="0.86057578740157481"/>
        </c:manualLayout>
      </c:layout>
      <c:scatterChart>
        <c:scatterStyle val="lineMarker"/>
        <c:varyColors val="0"/>
        <c:ser>
          <c:idx val="2"/>
          <c:order val="0"/>
          <c:tx>
            <c:v>Required DPI Profile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'Sheet1 (2)'!$U$2:$U$18</c:f>
              <c:numCache>
                <c:formatCode>General</c:formatCode>
                <c:ptCount val="17"/>
                <c:pt idx="0">
                  <c:v>16.147868094938037</c:v>
                </c:pt>
                <c:pt idx="1">
                  <c:v>25.115654180329642</c:v>
                </c:pt>
                <c:pt idx="2">
                  <c:v>36.055979460238959</c:v>
                </c:pt>
                <c:pt idx="3">
                  <c:v>48.968843934666005</c:v>
                </c:pt>
                <c:pt idx="4">
                  <c:v>63.854247603610759</c:v>
                </c:pt>
                <c:pt idx="5">
                  <c:v>80.712190467073242</c:v>
                </c:pt>
                <c:pt idx="6">
                  <c:v>99.542672525053447</c:v>
                </c:pt>
                <c:pt idx="7">
                  <c:v>120.34569377755133</c:v>
                </c:pt>
                <c:pt idx="8">
                  <c:v>143.121254224567</c:v>
                </c:pt>
                <c:pt idx="9">
                  <c:v>167.86935386610034</c:v>
                </c:pt>
                <c:pt idx="10">
                  <c:v>194.58999270215139</c:v>
                </c:pt>
                <c:pt idx="11">
                  <c:v>223.28317073272012</c:v>
                </c:pt>
                <c:pt idx="12">
                  <c:v>253.94888795780665</c:v>
                </c:pt>
                <c:pt idx="13">
                  <c:v>286.58714437741088</c:v>
                </c:pt>
                <c:pt idx="14">
                  <c:v>321.19793999153285</c:v>
                </c:pt>
                <c:pt idx="15">
                  <c:v>357.78127480017253</c:v>
                </c:pt>
                <c:pt idx="16">
                  <c:v>396.33714880332985</c:v>
                </c:pt>
              </c:numCache>
            </c:numRef>
          </c:xVal>
          <c:yVal>
            <c:numRef>
              <c:f>'Sheet1 (2)'!$P$2:$P$18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B-414E-95B7-E4C0C7970711}"/>
            </c:ext>
          </c:extLst>
        </c:ser>
        <c:ser>
          <c:idx val="0"/>
          <c:order val="1"/>
          <c:tx>
            <c:v>Measured/Approximated In-situ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'Sheet1 (2)'!$Q$25:$Q$38</c:f>
              <c:numCache>
                <c:formatCode>General</c:formatCode>
                <c:ptCount val="14"/>
                <c:pt idx="0">
                  <c:v>19.263952774988418</c:v>
                </c:pt>
                <c:pt idx="1">
                  <c:v>19.263952774988418</c:v>
                </c:pt>
                <c:pt idx="2">
                  <c:v>19.263952774988418</c:v>
                </c:pt>
                <c:pt idx="3">
                  <c:v>19.263952774988418</c:v>
                </c:pt>
                <c:pt idx="4">
                  <c:v>19.263952774988418</c:v>
                </c:pt>
                <c:pt idx="5">
                  <c:v>29.206965589693802</c:v>
                </c:pt>
                <c:pt idx="6">
                  <c:v>29.206965589693802</c:v>
                </c:pt>
                <c:pt idx="7">
                  <c:v>29.206965589693802</c:v>
                </c:pt>
                <c:pt idx="8">
                  <c:v>29.206965589693802</c:v>
                </c:pt>
                <c:pt idx="9">
                  <c:v>29.206965589693802</c:v>
                </c:pt>
                <c:pt idx="10">
                  <c:v>42.790811126667968</c:v>
                </c:pt>
                <c:pt idx="11">
                  <c:v>42.790811126667968</c:v>
                </c:pt>
                <c:pt idx="12">
                  <c:v>42.790811126667968</c:v>
                </c:pt>
                <c:pt idx="13">
                  <c:v>42.790811126667968</c:v>
                </c:pt>
              </c:numCache>
            </c:numRef>
          </c:xVal>
          <c:yVal>
            <c:numRef>
              <c:f>'Sheet1 (2)'!$O$25:$O$38</c:f>
              <c:numCache>
                <c:formatCode>General</c:formatCode>
                <c:ptCount val="14"/>
                <c:pt idx="0">
                  <c:v>0</c:v>
                </c:pt>
                <c:pt idx="1">
                  <c:v>50.8</c:v>
                </c:pt>
                <c:pt idx="2">
                  <c:v>101.6</c:v>
                </c:pt>
                <c:pt idx="3">
                  <c:v>152.39999999999998</c:v>
                </c:pt>
                <c:pt idx="4">
                  <c:v>243.84000000000003</c:v>
                </c:pt>
                <c:pt idx="5">
                  <c:v>243.84000000000003</c:v>
                </c:pt>
                <c:pt idx="6">
                  <c:v>254</c:v>
                </c:pt>
                <c:pt idx="7">
                  <c:v>304.79999999999995</c:v>
                </c:pt>
                <c:pt idx="8">
                  <c:v>355.59999999999997</c:v>
                </c:pt>
                <c:pt idx="9">
                  <c:v>457.2</c:v>
                </c:pt>
                <c:pt idx="10">
                  <c:v>457.2</c:v>
                </c:pt>
                <c:pt idx="11">
                  <c:v>508</c:v>
                </c:pt>
                <c:pt idx="12">
                  <c:v>558.79999999999995</c:v>
                </c:pt>
                <c:pt idx="13">
                  <c:v>558.79999999999995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B-414E-95B7-E4C0C7970711}"/>
            </c:ext>
          </c:extLst>
        </c:ser>
        <c:ser>
          <c:idx val="1"/>
          <c:order val="2"/>
          <c:tx>
            <c:v>Shifted with Added Layer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'Sheet1 (2)'!$Q$23:$Q$38</c:f>
              <c:numCache>
                <c:formatCode>General</c:formatCode>
                <c:ptCount val="16"/>
                <c:pt idx="0">
                  <c:v>5.2197820564392954</c:v>
                </c:pt>
                <c:pt idx="1">
                  <c:v>5.2197820564392954</c:v>
                </c:pt>
                <c:pt idx="2">
                  <c:v>19.263952774988418</c:v>
                </c:pt>
                <c:pt idx="3">
                  <c:v>19.263952774988418</c:v>
                </c:pt>
                <c:pt idx="4">
                  <c:v>19.263952774988418</c:v>
                </c:pt>
                <c:pt idx="5">
                  <c:v>19.263952774988418</c:v>
                </c:pt>
                <c:pt idx="6">
                  <c:v>19.263952774988418</c:v>
                </c:pt>
                <c:pt idx="7">
                  <c:v>29.206965589693802</c:v>
                </c:pt>
                <c:pt idx="8">
                  <c:v>29.206965589693802</c:v>
                </c:pt>
                <c:pt idx="9">
                  <c:v>29.206965589693802</c:v>
                </c:pt>
                <c:pt idx="10">
                  <c:v>29.206965589693802</c:v>
                </c:pt>
                <c:pt idx="11">
                  <c:v>29.206965589693802</c:v>
                </c:pt>
                <c:pt idx="12">
                  <c:v>42.790811126667968</c:v>
                </c:pt>
                <c:pt idx="13">
                  <c:v>42.790811126667968</c:v>
                </c:pt>
                <c:pt idx="14">
                  <c:v>42.790811126667968</c:v>
                </c:pt>
                <c:pt idx="15">
                  <c:v>42.790811126667968</c:v>
                </c:pt>
              </c:numCache>
            </c:numRef>
          </c:xVal>
          <c:yVal>
            <c:numRef>
              <c:f>'Sheet1 (2)'!$S$23:$S$38</c:f>
              <c:numCache>
                <c:formatCode>General</c:formatCode>
                <c:ptCount val="16"/>
                <c:pt idx="0">
                  <c:v>0</c:v>
                </c:pt>
                <c:pt idx="1">
                  <c:v>198.12</c:v>
                </c:pt>
                <c:pt idx="2">
                  <c:v>198.12</c:v>
                </c:pt>
                <c:pt idx="3">
                  <c:v>248.92000000000002</c:v>
                </c:pt>
                <c:pt idx="4">
                  <c:v>299.72000000000003</c:v>
                </c:pt>
                <c:pt idx="5">
                  <c:v>350.51999999999992</c:v>
                </c:pt>
                <c:pt idx="6">
                  <c:v>441.96000000000004</c:v>
                </c:pt>
                <c:pt idx="7">
                  <c:v>441.96000000000004</c:v>
                </c:pt>
                <c:pt idx="8">
                  <c:v>452.12</c:v>
                </c:pt>
                <c:pt idx="9">
                  <c:v>502.9199999999999</c:v>
                </c:pt>
                <c:pt idx="10">
                  <c:v>553.72</c:v>
                </c:pt>
                <c:pt idx="11">
                  <c:v>655.31999999999994</c:v>
                </c:pt>
                <c:pt idx="12">
                  <c:v>655.31999999999994</c:v>
                </c:pt>
                <c:pt idx="13">
                  <c:v>706.12000000000012</c:v>
                </c:pt>
                <c:pt idx="14">
                  <c:v>756.92</c:v>
                </c:pt>
                <c:pt idx="15">
                  <c:v>756.92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1B-414E-95B7-E4C0C7970711}"/>
            </c:ext>
          </c:extLst>
        </c:ser>
        <c:ser>
          <c:idx val="3"/>
          <c:order val="3"/>
          <c:tx>
            <c:v>Alternative added Layers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'Sheet1 (2)'!$U$21:$U$38</c:f>
              <c:numCache>
                <c:formatCode>General</c:formatCode>
                <c:ptCount val="18"/>
                <c:pt idx="0">
                  <c:v>5.2197820564392954</c:v>
                </c:pt>
                <c:pt idx="1">
                  <c:v>5.2197820564392954</c:v>
                </c:pt>
                <c:pt idx="2">
                  <c:v>11.594645746301076</c:v>
                </c:pt>
                <c:pt idx="3">
                  <c:v>11.594645746301076</c:v>
                </c:pt>
                <c:pt idx="4">
                  <c:v>19.263952774988418</c:v>
                </c:pt>
                <c:pt idx="5">
                  <c:v>19.263952774988418</c:v>
                </c:pt>
                <c:pt idx="6">
                  <c:v>19.263952774988418</c:v>
                </c:pt>
                <c:pt idx="7">
                  <c:v>19.263952774988418</c:v>
                </c:pt>
                <c:pt idx="8">
                  <c:v>19.263952774988418</c:v>
                </c:pt>
                <c:pt idx="9">
                  <c:v>29.206965589693802</c:v>
                </c:pt>
                <c:pt idx="10">
                  <c:v>29.206965589693802</c:v>
                </c:pt>
                <c:pt idx="11">
                  <c:v>29.206965589693802</c:v>
                </c:pt>
                <c:pt idx="12">
                  <c:v>29.206965589693802</c:v>
                </c:pt>
                <c:pt idx="13">
                  <c:v>29.206965589693802</c:v>
                </c:pt>
                <c:pt idx="14">
                  <c:v>42.790811126667968</c:v>
                </c:pt>
                <c:pt idx="15">
                  <c:v>42.790811126667968</c:v>
                </c:pt>
                <c:pt idx="16">
                  <c:v>42.790811126667968</c:v>
                </c:pt>
                <c:pt idx="17">
                  <c:v>42.790811126667968</c:v>
                </c:pt>
              </c:numCache>
            </c:numRef>
          </c:xVal>
          <c:yVal>
            <c:numRef>
              <c:f>'Sheet1 (2)'!$W$21:$W$38</c:f>
              <c:numCache>
                <c:formatCode>General</c:formatCode>
                <c:ptCount val="18"/>
                <c:pt idx="0">
                  <c:v>0</c:v>
                </c:pt>
                <c:pt idx="1">
                  <c:v>106.67999999999998</c:v>
                </c:pt>
                <c:pt idx="2">
                  <c:v>106.67999999999998</c:v>
                </c:pt>
                <c:pt idx="3">
                  <c:v>198.12</c:v>
                </c:pt>
                <c:pt idx="4">
                  <c:v>198.12</c:v>
                </c:pt>
                <c:pt idx="5">
                  <c:v>248.92000000000002</c:v>
                </c:pt>
                <c:pt idx="6">
                  <c:v>299.72000000000003</c:v>
                </c:pt>
                <c:pt idx="7">
                  <c:v>350.51999999999992</c:v>
                </c:pt>
                <c:pt idx="8">
                  <c:v>441.96000000000004</c:v>
                </c:pt>
                <c:pt idx="9">
                  <c:v>441.96000000000004</c:v>
                </c:pt>
                <c:pt idx="10">
                  <c:v>452.12</c:v>
                </c:pt>
                <c:pt idx="11">
                  <c:v>502.9199999999999</c:v>
                </c:pt>
                <c:pt idx="12">
                  <c:v>553.72</c:v>
                </c:pt>
                <c:pt idx="13">
                  <c:v>655.31999999999994</c:v>
                </c:pt>
                <c:pt idx="14">
                  <c:v>655.31999999999994</c:v>
                </c:pt>
                <c:pt idx="15">
                  <c:v>706.12000000000012</c:v>
                </c:pt>
                <c:pt idx="16">
                  <c:v>756.92</c:v>
                </c:pt>
                <c:pt idx="17">
                  <c:v>756.92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1B-414E-95B7-E4C0C7970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01615"/>
        <c:axId val="274680095"/>
      </c:scatterChart>
      <c:valAx>
        <c:axId val="1191301615"/>
        <c:scaling>
          <c:logBase val="10"/>
          <c:orientation val="maxMin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680095"/>
        <c:crosses val="autoZero"/>
        <c:crossBetween val="midCat"/>
      </c:valAx>
      <c:valAx>
        <c:axId val="274680095"/>
        <c:scaling>
          <c:orientation val="maxMin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Depth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301615"/>
        <c:crosses val="max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r"/>
      <c:layout>
        <c:manualLayout>
          <c:xMode val="edge"/>
          <c:yMode val="edge"/>
          <c:x val="0.615232053579851"/>
          <c:y val="0.7394562007874016"/>
          <c:w val="0.35336917019987885"/>
          <c:h val="0.22659722222222223"/>
        </c:manualLayout>
      </c:layout>
      <c:overlay val="1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25270879601588"/>
          <c:y val="5.6267497812773404E-2"/>
          <c:w val="0.76160643381115822"/>
          <c:h val="0.72115157480314962"/>
        </c:manualLayout>
      </c:layout>
      <c:scatterChart>
        <c:scatterStyle val="smoothMarker"/>
        <c:varyColors val="0"/>
        <c:ser>
          <c:idx val="9"/>
          <c:order val="0"/>
          <c:spPr>
            <a:effectLst/>
          </c:spPr>
          <c:marker>
            <c:symbol val="none"/>
          </c:marker>
          <c:xVal>
            <c:numRef>
              <c:f>Sheet2!$A$111:$A$115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Sheet2!$I$111:$I$115</c:f>
              <c:numCache>
                <c:formatCode>General</c:formatCode>
                <c:ptCount val="5"/>
                <c:pt idx="0">
                  <c:v>2.1868846299911655</c:v>
                </c:pt>
                <c:pt idx="1">
                  <c:v>3.7740249148851861</c:v>
                </c:pt>
                <c:pt idx="2">
                  <c:v>9.7013608732834431</c:v>
                </c:pt>
                <c:pt idx="3">
                  <c:v>26.302679918953825</c:v>
                </c:pt>
                <c:pt idx="4">
                  <c:v>114.61067408501358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429-4FBD-B27F-509F19D23705}"/>
            </c:ext>
          </c:extLst>
        </c:ser>
        <c:ser>
          <c:idx val="7"/>
          <c:order val="1"/>
          <c:spPr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Sheet2!$A$111:$A$115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Sheet2!$J$111:$J$115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429-4FBD-B27F-509F19D23705}"/>
            </c:ext>
          </c:extLst>
        </c:ser>
        <c:ser>
          <c:idx val="8"/>
          <c:order val="2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Sheet2!$A$111:$A$115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Sheet2!$B$111:$B$115</c:f>
              <c:numCache>
                <c:formatCode>0.0</c:formatCode>
                <c:ptCount val="5"/>
                <c:pt idx="0">
                  <c:v>3.0211699149955829</c:v>
                </c:pt>
                <c:pt idx="1">
                  <c:v>7.0454676574425932</c:v>
                </c:pt>
                <c:pt idx="2">
                  <c:v>19.701318436641721</c:v>
                </c:pt>
                <c:pt idx="3">
                  <c:v>44.155615959476918</c:v>
                </c:pt>
                <c:pt idx="4">
                  <c:v>120.6168890425068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29-4FBD-B27F-509F19D23705}"/>
            </c:ext>
          </c:extLst>
        </c:ser>
        <c:ser>
          <c:idx val="3"/>
          <c:order val="3"/>
          <c:spPr>
            <a:ln w="38100">
              <a:solidFill>
                <a:schemeClr val="tx1"/>
              </a:solidFill>
            </a:ln>
            <a:effectLst/>
          </c:spPr>
          <c:marker>
            <c:symbol val="none"/>
          </c:marker>
          <c:xVal>
            <c:numRef>
              <c:f>Sheet2!$A$111:$A$115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</c:numCache>
            </c:numRef>
          </c:xVal>
          <c:yVal>
            <c:numRef>
              <c:f>Sheet2!$G$111:$G$115</c:f>
              <c:numCache>
                <c:formatCode>General</c:formatCode>
                <c:ptCount val="5"/>
                <c:pt idx="0">
                  <c:v>2.186984909843364</c:v>
                </c:pt>
                <c:pt idx="1">
                  <c:v>4.6078753707757745</c:v>
                </c:pt>
                <c:pt idx="2">
                  <c:v>12.340969515233942</c:v>
                </c:pt>
                <c:pt idx="3">
                  <c:v>26.00184812652137</c:v>
                </c:pt>
                <c:pt idx="4">
                  <c:v>54.784683258482623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429-4FBD-B27F-509F19D23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SPT</a:t>
                </a:r>
                <a:r>
                  <a:rPr lang="en-US" baseline="0"/>
                  <a:t> (mm/blow)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221392948053809"/>
              <c:y val="0.885960945738551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25270879601588"/>
          <c:y val="5.6267497812773404E-2"/>
          <c:w val="0.76160643381115822"/>
          <c:h val="0.72115157480314962"/>
        </c:manualLayout>
      </c:layout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Sheet2!$A$119:$A$129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Sheet2!$I$119:$I$129</c:f>
              <c:numCache>
                <c:formatCode>General</c:formatCode>
                <c:ptCount val="11"/>
                <c:pt idx="0">
                  <c:v>1023.2929922807547</c:v>
                </c:pt>
                <c:pt idx="1">
                  <c:v>250.55848175455793</c:v>
                </c:pt>
                <c:pt idx="2">
                  <c:v>39.002360411534255</c:v>
                </c:pt>
                <c:pt idx="3">
                  <c:v>9.5499258602143549</c:v>
                </c:pt>
                <c:pt idx="4">
                  <c:v>2.338347806986059</c:v>
                </c:pt>
                <c:pt idx="5">
                  <c:v>0.36399120595298617</c:v>
                </c:pt>
                <c:pt idx="6">
                  <c:v>8.9125093813374537E-2</c:v>
                </c:pt>
                <c:pt idx="7">
                  <c:v>4.3206493443334222E-2</c:v>
                </c:pt>
                <c:pt idx="8">
                  <c:v>2.1822731476289506E-2</c:v>
                </c:pt>
                <c:pt idx="9">
                  <c:v>3.3969635840790787E-3</c:v>
                </c:pt>
                <c:pt idx="10">
                  <c:v>8.3176377110267033E-4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2D-4757-A15C-9837E62E8BC8}"/>
            </c:ext>
          </c:extLst>
        </c:ser>
        <c:ser>
          <c:idx val="9"/>
          <c:order val="1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Sheet2!$A$119:$A$129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Sheet2!$J$119:$J$129</c:f>
              <c:numCache>
                <c:formatCode>General</c:formatCode>
                <c:ptCount val="11"/>
                <c:pt idx="0">
                  <c:v>91.488667104516864</c:v>
                </c:pt>
                <c:pt idx="1">
                  <c:v>44.921093423088436</c:v>
                </c:pt>
                <c:pt idx="2">
                  <c:v>17.542209041546137</c:v>
                </c:pt>
                <c:pt idx="3">
                  <c:v>8.6132549106045104</c:v>
                </c:pt>
                <c:pt idx="4">
                  <c:v>4.2291230243208782</c:v>
                </c:pt>
                <c:pt idx="5">
                  <c:v>1.6515216906301222</c:v>
                </c:pt>
                <c:pt idx="6">
                  <c:v>0.81089999999999995</c:v>
                </c:pt>
                <c:pt idx="7">
                  <c:v>0.56235027140735738</c:v>
                </c:pt>
                <c:pt idx="8">
                  <c:v>0.39815329930611726</c:v>
                </c:pt>
                <c:pt idx="9">
                  <c:v>0.15548349060041639</c:v>
                </c:pt>
                <c:pt idx="10">
                  <c:v>7.6342662190390265E-2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C2D-4757-A15C-9837E62E8BC8}"/>
            </c:ext>
          </c:extLst>
        </c:ser>
        <c:ser>
          <c:idx val="7"/>
          <c:order val="2"/>
          <c:spPr>
            <a:ln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Sheet2!$A$119:$A$129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Sheet2!$B$119:$B$129</c:f>
              <c:numCache>
                <c:formatCode>0.0</c:formatCode>
                <c:ptCount val="11"/>
                <c:pt idx="0">
                  <c:v>557.39082969263575</c:v>
                </c:pt>
                <c:pt idx="1">
                  <c:v>147.73978758882316</c:v>
                </c:pt>
                <c:pt idx="2">
                  <c:v>28.272284726540196</c:v>
                </c:pt>
                <c:pt idx="3">
                  <c:v>9.0815903854094326</c:v>
                </c:pt>
                <c:pt idx="4">
                  <c:v>3.2837354156534686</c:v>
                </c:pt>
                <c:pt idx="5">
                  <c:v>1.0077564482915542</c:v>
                </c:pt>
                <c:pt idx="6">
                  <c:v>0.45001254690668724</c:v>
                </c:pt>
                <c:pt idx="7">
                  <c:v>0.30277838242534577</c:v>
                </c:pt>
                <c:pt idx="8">
                  <c:v>0.20998801539120338</c:v>
                </c:pt>
                <c:pt idx="9">
                  <c:v>7.9440227092247739E-2</c:v>
                </c:pt>
                <c:pt idx="10">
                  <c:v>3.8587212980746466E-2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2D-4757-A15C-9837E62E8BC8}"/>
            </c:ext>
          </c:extLst>
        </c:ser>
        <c:ser>
          <c:idx val="3"/>
          <c:order val="3"/>
          <c:spPr>
            <a:ln w="38100">
              <a:solidFill>
                <a:schemeClr val="tx1"/>
              </a:solidFill>
            </a:ln>
            <a:effectLst/>
          </c:spPr>
          <c:marker>
            <c:symbol val="none"/>
          </c:marker>
          <c:xVal>
            <c:numRef>
              <c:f>Sheet2!$A$119:$A$129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Sheet2!$G$119:$G$129</c:f>
              <c:numCache>
                <c:formatCode>General</c:formatCode>
                <c:ptCount val="11"/>
                <c:pt idx="0">
                  <c:v>107.50502222703217</c:v>
                </c:pt>
                <c:pt idx="1">
                  <c:v>46.745683749165124</c:v>
                </c:pt>
                <c:pt idx="2">
                  <c:v>15.545940343475964</c:v>
                </c:pt>
                <c:pt idx="3">
                  <c:v>6.75973639022033</c:v>
                </c:pt>
                <c:pt idx="4">
                  <c:v>2.9392905836310526</c:v>
                </c:pt>
                <c:pt idx="5">
                  <c:v>0.97750278529373424</c:v>
                </c:pt>
                <c:pt idx="6">
                  <c:v>0.42504094337817067</c:v>
                </c:pt>
                <c:pt idx="7">
                  <c:v>0.27689570404286501</c:v>
                </c:pt>
                <c:pt idx="8">
                  <c:v>0.18481768672763221</c:v>
                </c:pt>
                <c:pt idx="9">
                  <c:v>6.1463743855031616E-2</c:v>
                </c:pt>
                <c:pt idx="10">
                  <c:v>2.6725865199296157E-2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C2D-4757-A15C-9837E62E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SPT</a:t>
                </a:r>
                <a:r>
                  <a:rPr lang="en-US" baseline="0"/>
                  <a:t> (mm/blow)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221392948053809"/>
              <c:y val="0.885960945738551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DPI</a:t>
                </a:r>
                <a:r>
                  <a:rPr lang="en-US" baseline="0"/>
                  <a:t> (mm/blow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72575543441685"/>
          <c:y val="5.5973862642169733E-2"/>
          <c:w val="0.76213338717275725"/>
          <c:h val="0.72742180664916889"/>
        </c:manualLayout>
      </c:layout>
      <c:scatterChart>
        <c:scatterStyle val="smoothMarker"/>
        <c:varyColors val="0"/>
        <c:ser>
          <c:idx val="9"/>
          <c:order val="0"/>
          <c:spPr>
            <a:effectLst/>
          </c:spPr>
          <c:marker>
            <c:symbol val="none"/>
          </c:marker>
          <c:xVal>
            <c:numRef>
              <c:f>Sheet2!$A$133:$A$143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Sheet2!$I$133:$I$143</c:f>
              <c:numCache>
                <c:formatCode>General</c:formatCode>
                <c:ptCount val="11"/>
                <c:pt idx="0">
                  <c:v>13.362795790261524</c:v>
                </c:pt>
                <c:pt idx="1">
                  <c:v>22.926591463602165</c:v>
                </c:pt>
                <c:pt idx="2">
                  <c:v>31.439770325581534</c:v>
                </c:pt>
                <c:pt idx="3">
                  <c:v>39.33522627966677</c:v>
                </c:pt>
                <c:pt idx="4">
                  <c:v>46.801004115708608</c:v>
                </c:pt>
                <c:pt idx="5">
                  <c:v>64.179309983364178</c:v>
                </c:pt>
                <c:pt idx="6">
                  <c:v>80.296632403017128</c:v>
                </c:pt>
                <c:pt idx="7">
                  <c:v>137.76518895459265</c:v>
                </c:pt>
                <c:pt idx="8">
                  <c:v>188.92062112543138</c:v>
                </c:pt>
                <c:pt idx="9">
                  <c:v>236.36417518029643</c:v>
                </c:pt>
                <c:pt idx="10">
                  <c:v>281.22580652694387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F7D-4E7A-A533-BCCF9641D147}"/>
            </c:ext>
          </c:extLst>
        </c:ser>
        <c:ser>
          <c:idx val="3"/>
          <c:order val="1"/>
          <c:spPr>
            <a:effectLst/>
          </c:spPr>
          <c:marker>
            <c:symbol val="none"/>
          </c:marker>
          <c:xVal>
            <c:numRef>
              <c:f>Sheet2!$A$133:$A$143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Sheet2!$J$133:$J$143</c:f>
              <c:numCache>
                <c:formatCode>General</c:formatCode>
                <c:ptCount val="11"/>
                <c:pt idx="0">
                  <c:v>13.992244698050772</c:v>
                </c:pt>
                <c:pt idx="1">
                  <c:v>24.160116722160595</c:v>
                </c:pt>
                <c:pt idx="2">
                  <c:v>33.255152232528467</c:v>
                </c:pt>
                <c:pt idx="3">
                  <c:v>41.716769012032792</c:v>
                </c:pt>
                <c:pt idx="4">
                  <c:v>49.736561225185085</c:v>
                </c:pt>
                <c:pt idx="5">
                  <c:v>68.45980646893527</c:v>
                </c:pt>
                <c:pt idx="6">
                  <c:v>85.879081626321025</c:v>
                </c:pt>
                <c:pt idx="7">
                  <c:v>148.28561684408774</c:v>
                </c:pt>
                <c:pt idx="8">
                  <c:v>204.10748916297152</c:v>
                </c:pt>
                <c:pt idx="9">
                  <c:v>256.04167797821816</c:v>
                </c:pt>
                <c:pt idx="10">
                  <c:v>305.26411547571149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F7D-4E7A-A533-BCCF9641D147}"/>
            </c:ext>
          </c:extLst>
        </c:ser>
        <c:ser>
          <c:idx val="0"/>
          <c:order val="2"/>
          <c:marker>
            <c:symbol val="none"/>
          </c:marker>
          <c:xVal>
            <c:numRef>
              <c:f>Sheet2!$A$133:$A$143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Sheet2!$K$133:$K$143</c:f>
              <c:numCache>
                <c:formatCode>General</c:formatCode>
                <c:ptCount val="11"/>
                <c:pt idx="0">
                  <c:v>11.446107424603762</c:v>
                </c:pt>
                <c:pt idx="1">
                  <c:v>19.763754662705402</c:v>
                </c:pt>
                <c:pt idx="2">
                  <c:v>27.203787032690961</c:v>
                </c:pt>
                <c:pt idx="3">
                  <c:v>34.125662452546116</c:v>
                </c:pt>
                <c:pt idx="4">
                  <c:v>40.686111127913385</c:v>
                </c:pt>
                <c:pt idx="5">
                  <c:v>56.00232957762509</c:v>
                </c:pt>
                <c:pt idx="6">
                  <c:v>70.251858442564426</c:v>
                </c:pt>
                <c:pt idx="7">
                  <c:v>121.30241691367128</c:v>
                </c:pt>
                <c:pt idx="8">
                  <c:v>166.96650877260427</c:v>
                </c:pt>
                <c:pt idx="9">
                  <c:v>209.45035014451648</c:v>
                </c:pt>
                <c:pt idx="10">
                  <c:v>249.71589148225766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F7D-4E7A-A533-BCCF9641D147}"/>
            </c:ext>
          </c:extLst>
        </c:ser>
        <c:ser>
          <c:idx val="6"/>
          <c:order val="3"/>
          <c:spPr>
            <a:effectLst/>
          </c:spPr>
          <c:marker>
            <c:symbol val="none"/>
          </c:marker>
          <c:xVal>
            <c:numRef>
              <c:f>Sheet2!$A$133:$A$143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Sheet2!$L$133:$L$143</c:f>
              <c:numCache>
                <c:formatCode>General</c:formatCode>
                <c:ptCount val="11"/>
                <c:pt idx="0">
                  <c:v>21.56227185021854</c:v>
                </c:pt>
                <c:pt idx="1">
                  <c:v>32.051884693861119</c:v>
                </c:pt>
                <c:pt idx="2">
                  <c:v>40.4166359749075</c:v>
                </c:pt>
                <c:pt idx="3">
                  <c:v>47.644483826418167</c:v>
                </c:pt>
                <c:pt idx="4">
                  <c:v>54.12968037348886</c:v>
                </c:pt>
                <c:pt idx="5">
                  <c:v>68.256191733786281</c:v>
                </c:pt>
                <c:pt idx="6">
                  <c:v>80.46268435434078</c:v>
                </c:pt>
                <c:pt idx="7">
                  <c:v>119.60616668775253</c:v>
                </c:pt>
                <c:pt idx="8">
                  <c:v>150.82042586715255</c:v>
                </c:pt>
                <c:pt idx="9">
                  <c:v>177.79216818990818</c:v>
                </c:pt>
                <c:pt idx="10">
                  <c:v>201.99260153791479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F7D-4E7A-A533-BCCF9641D147}"/>
            </c:ext>
          </c:extLst>
        </c:ser>
        <c:ser>
          <c:idx val="8"/>
          <c:order val="4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Sheet2!$A$133:$A$143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Sheet2!$B$133:$B$143</c:f>
              <c:numCache>
                <c:formatCode>0.0</c:formatCode>
                <c:ptCount val="11"/>
                <c:pt idx="0">
                  <c:v>13.677520244156149</c:v>
                </c:pt>
                <c:pt idx="1">
                  <c:v>23.54335409288138</c:v>
                </c:pt>
                <c:pt idx="2">
                  <c:v>32.347461279054997</c:v>
                </c:pt>
                <c:pt idx="3">
                  <c:v>40.525997645849785</c:v>
                </c:pt>
                <c:pt idx="4">
                  <c:v>48.268782670446846</c:v>
                </c:pt>
                <c:pt idx="5">
                  <c:v>66.217750858575229</c:v>
                </c:pt>
                <c:pt idx="6">
                  <c:v>80.379658378678954</c:v>
                </c:pt>
                <c:pt idx="7">
                  <c:v>129.53380293413196</c:v>
                </c:pt>
                <c:pt idx="8">
                  <c:v>177.94356494901783</c:v>
                </c:pt>
                <c:pt idx="9">
                  <c:v>222.90726266240645</c:v>
                </c:pt>
                <c:pt idx="10">
                  <c:v>265.47084900460078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7D-4E7A-A533-BCCF9641D147}"/>
            </c:ext>
          </c:extLst>
        </c:ser>
        <c:ser>
          <c:idx val="17"/>
          <c:order val="5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Sheet2!$A$133:$A$143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Sheet2!$G$133:$G$143</c:f>
              <c:numCache>
                <c:formatCode>General</c:formatCode>
                <c:ptCount val="11"/>
                <c:pt idx="0">
                  <c:v>14.052807926173843</c:v>
                </c:pt>
                <c:pt idx="1">
                  <c:v>23.1386296215131</c:v>
                </c:pt>
                <c:pt idx="2">
                  <c:v>30.976019540848768</c:v>
                </c:pt>
                <c:pt idx="3">
                  <c:v>38.098875582321817</c:v>
                </c:pt>
                <c:pt idx="4">
                  <c:v>44.733572431631018</c:v>
                </c:pt>
                <c:pt idx="5">
                  <c:v>59.885483126704003</c:v>
                </c:pt>
                <c:pt idx="6">
                  <c:v>73.655995981755197</c:v>
                </c:pt>
                <c:pt idx="7">
                  <c:v>121.27816870329339</c:v>
                </c:pt>
                <c:pt idx="8">
                  <c:v>162.35684589284301</c:v>
                </c:pt>
                <c:pt idx="9">
                  <c:v>199.69038512041593</c:v>
                </c:pt>
                <c:pt idx="10">
                  <c:v>234.46530035729808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2F7D-4E7A-A533-BCCF9641D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Soaked CBR(%)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i="1"/>
                  <a:t>k</a:t>
                </a:r>
                <a:r>
                  <a:rPr lang="en-US"/>
                  <a:t>-value</a:t>
                </a:r>
                <a:r>
                  <a:rPr lang="en-US" baseline="0"/>
                  <a:t> (kPa/mm)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99925970792114"/>
          <c:y val="5.5973862642169733E-2"/>
          <c:w val="0.75785988289925299"/>
          <c:h val="0.72742180664916889"/>
        </c:manualLayout>
      </c:layout>
      <c:scatterChart>
        <c:scatterStyle val="smoothMarker"/>
        <c:varyColors val="0"/>
        <c:ser>
          <c:idx val="3"/>
          <c:order val="0"/>
          <c:spPr>
            <a:effectLst/>
          </c:spPr>
          <c:marker>
            <c:symbol val="none"/>
          </c:marker>
          <c:xVal>
            <c:numRef>
              <c:f>Sheet2!$A$161:$A$171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Sheet2!$I$161:$I$171</c:f>
              <c:numCache>
                <c:formatCode>General</c:formatCode>
                <c:ptCount val="11"/>
                <c:pt idx="0">
                  <c:v>40.608491844799993</c:v>
                </c:pt>
                <c:pt idx="1">
                  <c:v>59.338344366799994</c:v>
                </c:pt>
                <c:pt idx="2">
                  <c:v>96.798049410800004</c:v>
                </c:pt>
                <c:pt idx="3">
                  <c:v>134.25775445479999</c:v>
                </c:pt>
                <c:pt idx="4">
                  <c:v>171.7174594988</c:v>
                </c:pt>
                <c:pt idx="5">
                  <c:v>209.1771645428</c:v>
                </c:pt>
                <c:pt idx="6">
                  <c:v>246.63686958679997</c:v>
                </c:pt>
                <c:pt idx="7">
                  <c:v>284.09657463079998</c:v>
                </c:pt>
                <c:pt idx="8">
                  <c:v>321.55627967479995</c:v>
                </c:pt>
                <c:pt idx="9">
                  <c:v>359.01598471879993</c:v>
                </c:pt>
                <c:pt idx="10">
                  <c:v>396.47568976279996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E0E-434F-98DD-F1C95BAB51E3}"/>
            </c:ext>
          </c:extLst>
        </c:ser>
        <c:ser>
          <c:idx val="0"/>
          <c:order val="1"/>
          <c:marker>
            <c:symbol val="none"/>
          </c:marker>
          <c:xVal>
            <c:numRef>
              <c:f>Sheet2!$A$161:$A$171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Sheet2!$J$161:$J$171</c:f>
              <c:numCache>
                <c:formatCode>General</c:formatCode>
                <c:ptCount val="11"/>
                <c:pt idx="2">
                  <c:v>81.95175487275219</c:v>
                </c:pt>
                <c:pt idx="3">
                  <c:v>104.32892858999745</c:v>
                </c:pt>
                <c:pt idx="4">
                  <c:v>124.12684391204748</c:v>
                </c:pt>
                <c:pt idx="5">
                  <c:v>142.27647098262835</c:v>
                </c:pt>
                <c:pt idx="6">
                  <c:v>159.25526796982089</c:v>
                </c:pt>
                <c:pt idx="7">
                  <c:v>175.34686692606715</c:v>
                </c:pt>
                <c:pt idx="8">
                  <c:v>190.73606982424454</c:v>
                </c:pt>
                <c:pt idx="9">
                  <c:v>205.55124055311063</c:v>
                </c:pt>
                <c:pt idx="10">
                  <c:v>219.88584007874013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E0E-434F-98DD-F1C95BAB51E3}"/>
            </c:ext>
          </c:extLst>
        </c:ser>
        <c:ser>
          <c:idx val="6"/>
          <c:order val="2"/>
          <c:spPr>
            <a:effectLst/>
          </c:spPr>
          <c:marker>
            <c:symbol val="none"/>
          </c:marker>
          <c:xVal>
            <c:numRef>
              <c:f>Sheet2!$A$161:$A$171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Sheet2!$K$161:$K$171</c:f>
              <c:numCache>
                <c:formatCode>General</c:formatCode>
                <c:ptCount val="11"/>
                <c:pt idx="0">
                  <c:v>36.850195618863346</c:v>
                </c:pt>
                <c:pt idx="1">
                  <c:v>54.972356430303542</c:v>
                </c:pt>
                <c:pt idx="2">
                  <c:v>82.006619523979268</c:v>
                </c:pt>
                <c:pt idx="3">
                  <c:v>103.62381120987057</c:v>
                </c:pt>
                <c:pt idx="4">
                  <c:v>122.33577169421635</c:v>
                </c:pt>
                <c:pt idx="5">
                  <c:v>139.14699847693498</c:v>
                </c:pt>
                <c:pt idx="6">
                  <c:v>154.58384925315076</c:v>
                </c:pt>
                <c:pt idx="7">
                  <c:v>168.96419913705307</c:v>
                </c:pt>
                <c:pt idx="8">
                  <c:v>182.49796324848211</c:v>
                </c:pt>
                <c:pt idx="9">
                  <c:v>195.33261709952143</c:v>
                </c:pt>
                <c:pt idx="10">
                  <c:v>207.57660218675662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E0E-434F-98DD-F1C95BAB51E3}"/>
            </c:ext>
          </c:extLst>
        </c:ser>
        <c:ser>
          <c:idx val="9"/>
          <c:order val="3"/>
          <c:spPr>
            <a:ln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Sheet2!$A$161:$A$171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Sheet2!$B$161:$B$171</c:f>
              <c:numCache>
                <c:formatCode>0.0</c:formatCode>
                <c:ptCount val="11"/>
                <c:pt idx="0">
                  <c:v>38.729343731831669</c:v>
                </c:pt>
                <c:pt idx="1">
                  <c:v>57.155350398551768</c:v>
                </c:pt>
                <c:pt idx="2">
                  <c:v>82.006619523979268</c:v>
                </c:pt>
                <c:pt idx="3">
                  <c:v>104.32892858999745</c:v>
                </c:pt>
                <c:pt idx="4">
                  <c:v>124.12684391204748</c:v>
                </c:pt>
                <c:pt idx="5">
                  <c:v>142.27647098262835</c:v>
                </c:pt>
                <c:pt idx="6">
                  <c:v>159.25526796982089</c:v>
                </c:pt>
                <c:pt idx="7">
                  <c:v>175.34686692606715</c:v>
                </c:pt>
                <c:pt idx="8">
                  <c:v>190.73606982424454</c:v>
                </c:pt>
                <c:pt idx="9">
                  <c:v>205.55124055311063</c:v>
                </c:pt>
                <c:pt idx="10">
                  <c:v>219.88584007874013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0E-434F-98DD-F1C95BAB51E3}"/>
            </c:ext>
          </c:extLst>
        </c:ser>
        <c:ser>
          <c:idx val="19"/>
          <c:order val="4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Sheet2!$A$161:$A$171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Sheet2!$G$161:$G$171</c:f>
              <c:numCache>
                <c:formatCode>General</c:formatCode>
                <c:ptCount val="11"/>
                <c:pt idx="0">
                  <c:v>41.50274811504611</c:v>
                </c:pt>
                <c:pt idx="1">
                  <c:v>65.442857271756566</c:v>
                </c:pt>
                <c:pt idx="2">
                  <c:v>103.19238514084931</c:v>
                </c:pt>
                <c:pt idx="3">
                  <c:v>134.69289631342039</c:v>
                </c:pt>
                <c:pt idx="4">
                  <c:v>162.71704499144883</c:v>
                </c:pt>
                <c:pt idx="5">
                  <c:v>188.41077026675478</c:v>
                </c:pt>
                <c:pt idx="6">
                  <c:v>212.38805595533708</c:v>
                </c:pt>
                <c:pt idx="7">
                  <c:v>235.02608338347915</c:v>
                </c:pt>
                <c:pt idx="8">
                  <c:v>256.57742763296392</c:v>
                </c:pt>
                <c:pt idx="9">
                  <c:v>277.2216414995612</c:v>
                </c:pt>
                <c:pt idx="10">
                  <c:v>297.09211334270327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CE0E-434F-98DD-F1C95BAB5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In-situ CBR(%)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i="1"/>
                  <a:t>k</a:t>
                </a:r>
                <a:r>
                  <a:rPr lang="en-US"/>
                  <a:t>-value</a:t>
                </a:r>
                <a:r>
                  <a:rPr lang="en-US" baseline="0"/>
                  <a:t> (kPa/mm)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Sheet2!$B$175:$B$185</c:f>
              <c:numCache>
                <c:formatCode>0.0</c:formatCode>
                <c:ptCount val="11"/>
                <c:pt idx="0">
                  <c:v>209.45656309999998</c:v>
                </c:pt>
                <c:pt idx="1">
                  <c:v>411.57020679999999</c:v>
                </c:pt>
                <c:pt idx="2">
                  <c:v>793.76873599999999</c:v>
                </c:pt>
                <c:pt idx="3">
                  <c:v>1146.5955876</c:v>
                </c:pt>
                <c:pt idx="4">
                  <c:v>2800</c:v>
                </c:pt>
                <c:pt idx="5">
                  <c:v>3500</c:v>
                </c:pt>
                <c:pt idx="6">
                  <c:v>4200</c:v>
                </c:pt>
                <c:pt idx="7">
                  <c:v>4900</c:v>
                </c:pt>
                <c:pt idx="8">
                  <c:v>5600</c:v>
                </c:pt>
                <c:pt idx="9">
                  <c:v>6300</c:v>
                </c:pt>
                <c:pt idx="10">
                  <c:v>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2-4621-983F-6A78AED8791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Sheet2!$I$175:$I$185</c:f>
              <c:numCache>
                <c:formatCode>General</c:formatCode>
                <c:ptCount val="11"/>
                <c:pt idx="0">
                  <c:v>350</c:v>
                </c:pt>
                <c:pt idx="1">
                  <c:v>700</c:v>
                </c:pt>
                <c:pt idx="2">
                  <c:v>1400</c:v>
                </c:pt>
                <c:pt idx="3">
                  <c:v>2100</c:v>
                </c:pt>
                <c:pt idx="4">
                  <c:v>2800</c:v>
                </c:pt>
                <c:pt idx="5">
                  <c:v>3500</c:v>
                </c:pt>
                <c:pt idx="6">
                  <c:v>4200</c:v>
                </c:pt>
                <c:pt idx="7">
                  <c:v>4900</c:v>
                </c:pt>
                <c:pt idx="8">
                  <c:v>5600</c:v>
                </c:pt>
                <c:pt idx="9">
                  <c:v>6300</c:v>
                </c:pt>
                <c:pt idx="10">
                  <c:v>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62-4621-983F-6A78AED8791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Sheet2!$J$175:$J$185</c:f>
              <c:numCache>
                <c:formatCode>General</c:formatCode>
                <c:ptCount val="11"/>
                <c:pt idx="0">
                  <c:v>68.913126200000008</c:v>
                </c:pt>
                <c:pt idx="1">
                  <c:v>123.14041359999999</c:v>
                </c:pt>
                <c:pt idx="2">
                  <c:v>187.53747200000001</c:v>
                </c:pt>
                <c:pt idx="3">
                  <c:v>193.1911752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62-4621-983F-6A78AED8791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Sheet2!$K$175:$K$185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62-4621-983F-6A78AED8791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Sheet2!$L$175:$L$185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62-4621-983F-6A78AED8791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Sheet2!$M$175:$M$185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62-4621-983F-6A78AED8791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Sheet2!$N$175:$N$185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62-4621-983F-6A78AED8791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Sheet2!$O$175:$O$185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62-4621-983F-6A78AED8791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Sheet2!$P$175:$P$185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962-4621-983F-6A78AED8791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Sheet2!$Q$175:$Q$185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962-4621-983F-6A78AED8791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Sheet2!$R$175:$R$185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962-4621-983F-6A78AED8791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Sheet2!$S$175:$S$185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62-4621-983F-6A78AED8791A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Sheet2!$T$175:$T$185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962-4621-983F-6A78AED8791A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Sheet2!$U$175:$U$185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962-4621-983F-6A78AED8791A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Sheet2!$V$175:$V$185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962-4621-983F-6A78AED8791A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Sheet2!$W$175:$W$185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962-4621-983F-6A78AED8791A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Sheet2!$X$175:$X$185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962-4621-983F-6A78AED8791A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Sheet2!$Y$175:$Y$185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962-4621-983F-6A78AED8791A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Sheet2!$A$175:$A$185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Sheet2!$Z$175:$Z$185</c:f>
              <c:numCache>
                <c:formatCode>General</c:formatCode>
                <c:ptCount val="1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962-4621-983F-6A78AED8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233552"/>
        <c:axId val="146236415"/>
      </c:scatterChart>
      <c:valAx>
        <c:axId val="2054233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36415"/>
        <c:crosses val="autoZero"/>
        <c:crossBetween val="midCat"/>
      </c:valAx>
      <c:valAx>
        <c:axId val="1462364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23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Sheet2!$A$189:$A$199</c:f>
              <c:numCache>
                <c:formatCode>General</c:formatCode>
                <c:ptCount val="11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</c:numCache>
            </c:numRef>
          </c:xVal>
          <c:yVal>
            <c:numRef>
              <c:f>Sheet2!$B$189:$B$199</c:f>
              <c:numCache>
                <c:formatCode>0.0</c:formatCode>
                <c:ptCount val="11"/>
                <c:pt idx="0">
                  <c:v>26.627613780558129</c:v>
                </c:pt>
                <c:pt idx="1">
                  <c:v>49.199079671862073</c:v>
                </c:pt>
                <c:pt idx="2">
                  <c:v>92.768255606188902</c:v>
                </c:pt>
                <c:pt idx="3">
                  <c:v>135.46759292129985</c:v>
                </c:pt>
                <c:pt idx="4">
                  <c:v>177.72224581592019</c:v>
                </c:pt>
                <c:pt idx="5">
                  <c:v>219.69505474316344</c:v>
                </c:pt>
                <c:pt idx="6">
                  <c:v>261.46890635546129</c:v>
                </c:pt>
                <c:pt idx="7">
                  <c:v>303.09275527519981</c:v>
                </c:pt>
                <c:pt idx="8">
                  <c:v>344.59834815710178</c:v>
                </c:pt>
                <c:pt idx="9">
                  <c:v>386.00764851628003</c:v>
                </c:pt>
                <c:pt idx="10">
                  <c:v>427.33659258412433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B2-4183-832C-895017886EF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Sheet2!$A$189:$A$199</c:f>
              <c:numCache>
                <c:formatCode>General</c:formatCode>
                <c:ptCount val="11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</c:numCache>
            </c:numRef>
          </c:xVal>
          <c:yVal>
            <c:numRef>
              <c:f>Sheet2!$I$189:$I$199</c:f>
              <c:numCache>
                <c:formatCode>General</c:formatCode>
                <c:ptCount val="11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B2-4183-832C-895017886EF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Sheet2!$A$189:$A$199</c:f>
              <c:numCache>
                <c:formatCode>General</c:formatCode>
                <c:ptCount val="11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</c:numCache>
            </c:numRef>
          </c:xVal>
          <c:yVal>
            <c:numRef>
              <c:f>Sheet2!$J$189:$J$199</c:f>
              <c:numCache>
                <c:formatCode>General</c:formatCode>
                <c:ptCount val="11"/>
                <c:pt idx="0">
                  <c:v>13.255227561116252</c:v>
                </c:pt>
                <c:pt idx="1">
                  <c:v>18.398159343724146</c:v>
                </c:pt>
                <c:pt idx="2">
                  <c:v>25.536511212377807</c:v>
                </c:pt>
                <c:pt idx="3">
                  <c:v>30.935185842599711</c:v>
                </c:pt>
                <c:pt idx="4">
                  <c:v>35.444491631840393</c:v>
                </c:pt>
                <c:pt idx="5">
                  <c:v>39.390109486326836</c:v>
                </c:pt>
                <c:pt idx="6">
                  <c:v>42.937812710922586</c:v>
                </c:pt>
                <c:pt idx="7">
                  <c:v>46.185510550399684</c:v>
                </c:pt>
                <c:pt idx="8">
                  <c:v>49.19669631420355</c:v>
                </c:pt>
                <c:pt idx="9">
                  <c:v>52.015297032560056</c:v>
                </c:pt>
                <c:pt idx="10">
                  <c:v>54.673185168248679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B2-4183-832C-895017886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426928"/>
        <c:axId val="1826741728"/>
      </c:scatterChart>
      <c:valAx>
        <c:axId val="2051426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41728"/>
        <c:crosses val="autoZero"/>
        <c:crossBetween val="midCat"/>
      </c:valAx>
      <c:valAx>
        <c:axId val="1826741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4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90672319806177"/>
          <c:y val="5.203138670166229E-2"/>
          <c:w val="0.73795241940911227"/>
          <c:h val="0.73668143044619427"/>
        </c:manualLayout>
      </c:layout>
      <c:scatterChart>
        <c:scatterStyle val="smoothMarker"/>
        <c:varyColors val="0"/>
        <c:ser>
          <c:idx val="7"/>
          <c:order val="0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Sheet2!$B$83:$B$93</c:f>
              <c:numCache>
                <c:formatCode>0.0</c:formatCode>
                <c:ptCount val="11"/>
                <c:pt idx="0">
                  <c:v>36.787142948241772</c:v>
                </c:pt>
                <c:pt idx="1">
                  <c:v>81.635781559929995</c:v>
                </c:pt>
                <c:pt idx="2">
                  <c:v>200.11001241275505</c:v>
                </c:pt>
                <c:pt idx="3">
                  <c:v>436.56609860886192</c:v>
                </c:pt>
                <c:pt idx="4">
                  <c:v>871.59235377034906</c:v>
                </c:pt>
                <c:pt idx="5">
                  <c:v>2059.1172169710844</c:v>
                </c:pt>
                <c:pt idx="6">
                  <c:v>4349</c:v>
                </c:pt>
                <c:pt idx="7">
                  <c:v>6415.5300576873433</c:v>
                </c:pt>
                <c:pt idx="8">
                  <c:v>9257.8918469793261</c:v>
                </c:pt>
                <c:pt idx="9">
                  <c:v>25134.29525022184</c:v>
                </c:pt>
                <c:pt idx="10">
                  <c:v>53504.388842630462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67-497A-A761-23D2DB6C576D}"/>
            </c:ext>
          </c:extLst>
        </c:ser>
        <c:ser>
          <c:idx val="8"/>
          <c:order val="1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Sheet2!$I$83:$I$93</c:f>
              <c:numCache>
                <c:formatCode>General</c:formatCode>
                <c:ptCount val="11"/>
                <c:pt idx="2">
                  <c:v>110.7325503727731</c:v>
                </c:pt>
                <c:pt idx="3">
                  <c:v>235.72084968758872</c:v>
                </c:pt>
                <c:pt idx="4">
                  <c:v>501.78848758007985</c:v>
                </c:pt>
                <c:pt idx="5">
                  <c:v>1362.307986360317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67-497A-A761-23D2DB6C576D}"/>
            </c:ext>
          </c:extLst>
        </c:ser>
        <c:ser>
          <c:idx val="9"/>
          <c:order val="2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Sheet2!$J$83:$J$93</c:f>
              <c:numCache>
                <c:formatCode>General</c:formatCode>
                <c:ptCount val="11"/>
                <c:pt idx="0">
                  <c:v>88.307990041856272</c:v>
                </c:pt>
                <c:pt idx="1">
                  <c:v>154.50096861614182</c:v>
                </c:pt>
                <c:pt idx="2">
                  <c:v>323.64491915860822</c:v>
                </c:pt>
                <c:pt idx="3">
                  <c:v>566.23928903825367</c:v>
                </c:pt>
                <c:pt idx="4">
                  <c:v>990.67500668353716</c:v>
                </c:pt>
                <c:pt idx="5">
                  <c:v>2075.2422157762999</c:v>
                </c:pt>
                <c:pt idx="6">
                  <c:v>3630.7805477010188</c:v>
                </c:pt>
                <c:pt idx="7">
                  <c:v>4841.7892483990227</c:v>
                </c:pt>
                <c:pt idx="8">
                  <c:v>6352.3030156905297</c:v>
                </c:pt>
                <c:pt idx="9">
                  <c:v>13306.651824895751</c:v>
                </c:pt>
                <c:pt idx="10">
                  <c:v>23280.912576650095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467-497A-A761-23D2DB6C576D}"/>
            </c:ext>
          </c:extLst>
        </c:ser>
        <c:ser>
          <c:idx val="3"/>
          <c:order val="3"/>
          <c:spPr>
            <a:effectLst/>
          </c:spPr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Sheet2!$K$83:$K$93</c:f>
              <c:numCache>
                <c:formatCode>General</c:formatCode>
                <c:ptCount val="11"/>
                <c:pt idx="0">
                  <c:v>28.733558053850334</c:v>
                </c:pt>
                <c:pt idx="1">
                  <c:v>61.166284856621829</c:v>
                </c:pt>
                <c:pt idx="2">
                  <c:v>166.06064192110009</c:v>
                </c:pt>
                <c:pt idx="3">
                  <c:v>353.49999147976666</c:v>
                </c:pt>
                <c:pt idx="4">
                  <c:v>752.50970085716108</c:v>
                </c:pt>
                <c:pt idx="5">
                  <c:v>2042.9922181658685</c:v>
                </c:pt>
                <c:pt idx="6">
                  <c:v>4349</c:v>
                </c:pt>
                <c:pt idx="7">
                  <c:v>6415.5300576873433</c:v>
                </c:pt>
                <c:pt idx="8">
                  <c:v>9257.8918469793261</c:v>
                </c:pt>
                <c:pt idx="9">
                  <c:v>25134.29525022184</c:v>
                </c:pt>
                <c:pt idx="10">
                  <c:v>53504.388842630462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467-497A-A761-23D2DB6C576D}"/>
            </c:ext>
          </c:extLst>
        </c:ser>
        <c:ser>
          <c:idx val="0"/>
          <c:order val="4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Sheet2!$L$83:$L$93</c:f>
              <c:numCache>
                <c:formatCode>General</c:formatCode>
                <c:ptCount val="11"/>
                <c:pt idx="0">
                  <c:v>36.787142948241772</c:v>
                </c:pt>
                <c:pt idx="1">
                  <c:v>81.635781559929995</c:v>
                </c:pt>
                <c:pt idx="2">
                  <c:v>234.15938290441005</c:v>
                </c:pt>
                <c:pt idx="3">
                  <c:v>519.63220573795718</c:v>
                </c:pt>
                <c:pt idx="4">
                  <c:v>1153.1360643802302</c:v>
                </c:pt>
                <c:pt idx="5">
                  <c:v>3307.5891977817478</c:v>
                </c:pt>
                <c:pt idx="6">
                  <c:v>7340</c:v>
                </c:pt>
                <c:pt idx="7">
                  <c:v>11061.991333849854</c:v>
                </c:pt>
                <c:pt idx="8">
                  <c:v>16288.479849955962</c:v>
                </c:pt>
                <c:pt idx="9">
                  <c:v>46720.939240553729</c:v>
                </c:pt>
                <c:pt idx="10">
                  <c:v>103680.25577531013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467-497A-A761-23D2DB6C576D}"/>
            </c:ext>
          </c:extLst>
        </c:ser>
        <c:ser>
          <c:idx val="6"/>
          <c:order val="5"/>
          <c:spPr>
            <a:ln w="381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Sheet2!$M$83:$M$93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467-497A-A761-23D2DB6C576D}"/>
            </c:ext>
          </c:extLst>
        </c:ser>
        <c:ser>
          <c:idx val="1"/>
          <c:order val="6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Sheet2!$N$83:$N$93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467-497A-A761-23D2DB6C576D}"/>
            </c:ext>
          </c:extLst>
        </c:ser>
        <c:ser>
          <c:idx val="2"/>
          <c:order val="7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Sheet2!$O$83:$O$93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467-497A-A761-23D2DB6C576D}"/>
            </c:ext>
          </c:extLst>
        </c:ser>
        <c:ser>
          <c:idx val="4"/>
          <c:order val="8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Sheet2!$P$83:$P$93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467-497A-A761-23D2DB6C576D}"/>
            </c:ext>
          </c:extLst>
        </c:ser>
        <c:ser>
          <c:idx val="5"/>
          <c:order val="9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Sheet2!$Q$83:$Q$93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467-497A-A761-23D2DB6C576D}"/>
            </c:ext>
          </c:extLst>
        </c:ser>
        <c:ser>
          <c:idx val="10"/>
          <c:order val="10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Sheet2!$R$83:$R$93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467-497A-A761-23D2DB6C576D}"/>
            </c:ext>
          </c:extLst>
        </c:ser>
        <c:ser>
          <c:idx val="11"/>
          <c:order val="11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Sheet2!$S$83:$S$93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C467-497A-A761-23D2DB6C576D}"/>
            </c:ext>
          </c:extLst>
        </c:ser>
        <c:ser>
          <c:idx val="12"/>
          <c:order val="12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Sheet2!$T$83:$T$93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C467-497A-A761-23D2DB6C576D}"/>
            </c:ext>
          </c:extLst>
        </c:ser>
        <c:ser>
          <c:idx val="13"/>
          <c:order val="13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Sheet2!$U$83:$U$93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C467-497A-A761-23D2DB6C576D}"/>
            </c:ext>
          </c:extLst>
        </c:ser>
        <c:ser>
          <c:idx val="14"/>
          <c:order val="14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Sheet2!$V$83:$V$93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C467-497A-A761-23D2DB6C576D}"/>
            </c:ext>
          </c:extLst>
        </c:ser>
        <c:ser>
          <c:idx val="15"/>
          <c:order val="15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Sheet2!$W$83:$W$93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C467-497A-A761-23D2DB6C576D}"/>
            </c:ext>
          </c:extLst>
        </c:ser>
        <c:ser>
          <c:idx val="16"/>
          <c:order val="16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Sheet2!$X$83:$X$93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C467-497A-A761-23D2DB6C576D}"/>
            </c:ext>
          </c:extLst>
        </c:ser>
        <c:ser>
          <c:idx val="17"/>
          <c:order val="17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Sheet2!$Y$83:$Y$93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C467-497A-A761-23D2DB6C576D}"/>
            </c:ext>
          </c:extLst>
        </c:ser>
        <c:ser>
          <c:idx val="18"/>
          <c:order val="18"/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Sheet2!$Z$83:$Z$93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C467-497A-A761-23D2DB6C576D}"/>
            </c:ext>
          </c:extLst>
        </c:ser>
        <c:ser>
          <c:idx val="19"/>
          <c:order val="19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Sheet2!$A$83:$A$93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Sheet2!$G$83:$G$93</c:f>
              <c:numCache>
                <c:formatCode>General</c:formatCode>
                <c:ptCount val="11"/>
                <c:pt idx="0">
                  <c:v>40.993438062379212</c:v>
                </c:pt>
                <c:pt idx="1">
                  <c:v>81.634050112493583</c:v>
                </c:pt>
                <c:pt idx="2">
                  <c:v>202.92492168104977</c:v>
                </c:pt>
                <c:pt idx="3">
                  <c:v>404.10329088223881</c:v>
                </c:pt>
                <c:pt idx="4">
                  <c:v>804.72850918983409</c:v>
                </c:pt>
                <c:pt idx="5">
                  <c:v>2000.3842695152914</c:v>
                </c:pt>
                <c:pt idx="6">
                  <c:v>3983.5514516582962</c:v>
                </c:pt>
                <c:pt idx="7">
                  <c:v>5678.1727042141638</c:v>
                </c:pt>
                <c:pt idx="8">
                  <c:v>7932.8169141492262</c:v>
                </c:pt>
                <c:pt idx="9">
                  <c:v>19719.299101239543</c:v>
                </c:pt>
                <c:pt idx="10">
                  <c:v>39268.87636417021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C467-497A-A761-23D2DB6C5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UCS</a:t>
                </a:r>
                <a:r>
                  <a:rPr lang="en-US" baseline="0"/>
                  <a:t> (kPa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9732148866004"/>
          <c:y val="6.25E-2"/>
          <c:w val="0.7779308836395451"/>
          <c:h val="0.70553258967629051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Sheet2!$I$3:$I$13</c:f>
              <c:numCache>
                <c:formatCode>0.0</c:formatCode>
                <c:ptCount val="11"/>
                <c:pt idx="0">
                  <c:v>21.574973031283712</c:v>
                </c:pt>
                <c:pt idx="1">
                  <c:v>43.149946062567423</c:v>
                </c:pt>
                <c:pt idx="2">
                  <c:v>64.724919093851142</c:v>
                </c:pt>
                <c:pt idx="3">
                  <c:v>86.299892125134846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AF-442B-8673-EDB65F954846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Sheet2!$J$3:$J$13</c:f>
              <c:numCache>
                <c:formatCode>0.0</c:formatCode>
                <c:ptCount val="11"/>
                <c:pt idx="0">
                  <c:v>61.04758127856249</c:v>
                </c:pt>
                <c:pt idx="1">
                  <c:v>99.931127774326256</c:v>
                </c:pt>
                <c:pt idx="2">
                  <c:v>133.32195513595008</c:v>
                </c:pt>
                <c:pt idx="3">
                  <c:v>163.58109672979774</c:v>
                </c:pt>
                <c:pt idx="4">
                  <c:v>191.70618947260684</c:v>
                </c:pt>
                <c:pt idx="5">
                  <c:v>255.76258930920625</c:v>
                </c:pt>
                <c:pt idx="6">
                  <c:v>313.81121600707212</c:v>
                </c:pt>
                <c:pt idx="7">
                  <c:v>513.68961827864666</c:v>
                </c:pt>
                <c:pt idx="8">
                  <c:v>685.33304654192148</c:v>
                </c:pt>
                <c:pt idx="9">
                  <c:v>840.8782429284322</c:v>
                </c:pt>
                <c:pt idx="10">
                  <c:v>985.45349667451262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AF-442B-8673-EDB65F954846}"/>
            </c:ext>
          </c:extLst>
        </c:ser>
        <c:ser>
          <c:idx val="3"/>
          <c:order val="2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Sheet2!$K$3:$K$13</c:f>
              <c:numCache>
                <c:formatCode>0.0</c:formatCode>
                <c:ptCount val="11"/>
                <c:pt idx="0">
                  <c:v>41.769847242113812</c:v>
                </c:pt>
                <c:pt idx="1">
                  <c:v>56.665155525479804</c:v>
                </c:pt>
                <c:pt idx="2">
                  <c:v>67.732364845744357</c:v>
                </c:pt>
                <c:pt idx="3">
                  <c:v>76.872195201361251</c:v>
                </c:pt>
                <c:pt idx="4">
                  <c:v>84.80270177578214</c:v>
                </c:pt>
                <c:pt idx="5">
                  <c:v>101.36542436558489</c:v>
                </c:pt>
                <c:pt idx="6">
                  <c:v>115.04371220828043</c:v>
                </c:pt>
                <c:pt idx="7">
                  <c:v>156.06879782739779</c:v>
                </c:pt>
                <c:pt idx="8">
                  <c:v>186.55042340312207</c:v>
                </c:pt>
                <c:pt idx="9">
                  <c:v>211.72360651220362</c:v>
                </c:pt>
                <c:pt idx="10">
                  <c:v>233.56603535148568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AF-442B-8673-EDB65F954846}"/>
            </c:ext>
          </c:extLst>
        </c:ser>
        <c:ser>
          <c:idx val="4"/>
          <c:order val="3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Sheet2!$L$3:$L$13</c:f>
              <c:numCache>
                <c:formatCode>0.0</c:formatCode>
                <c:ptCount val="11"/>
                <c:pt idx="0">
                  <c:v>27.426593204049599</c:v>
                </c:pt>
                <c:pt idx="1">
                  <c:v>42.739659930705656</c:v>
                </c:pt>
                <c:pt idx="2">
                  <c:v>55.402513477280046</c:v>
                </c:pt>
                <c:pt idx="3">
                  <c:v>66.602458329481948</c:v>
                </c:pt>
                <c:pt idx="4">
                  <c:v>76.826786474269227</c:v>
                </c:pt>
                <c:pt idx="5">
                  <c:v>99.588931684476833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AF-442B-8673-EDB65F954846}"/>
            </c:ext>
          </c:extLst>
        </c:ser>
        <c:ser>
          <c:idx val="5"/>
          <c:order val="4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Sheet2!$M$3:$M$13</c:f>
              <c:numCache>
                <c:formatCode>0.0</c:formatCode>
                <c:ptCount val="11"/>
                <c:pt idx="0">
                  <c:v>29.922654644250485</c:v>
                </c:pt>
                <c:pt idx="1">
                  <c:v>41.675770509936932</c:v>
                </c:pt>
                <c:pt idx="2">
                  <c:v>50.588301734899126</c:v>
                </c:pt>
                <c:pt idx="3">
                  <c:v>58.045312765412056</c:v>
                </c:pt>
                <c:pt idx="4">
                  <c:v>64.578403227189241</c:v>
                </c:pt>
                <c:pt idx="5">
                  <c:v>78.388754617892161</c:v>
                </c:pt>
                <c:pt idx="6">
                  <c:v>89.943714713548715</c:v>
                </c:pt>
                <c:pt idx="7">
                  <c:v>125.27209426364681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AAF-442B-8673-EDB65F954846}"/>
            </c:ext>
          </c:extLst>
        </c:ser>
        <c:ser>
          <c:idx val="6"/>
          <c:order val="5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Sheet2!$N$3:$N$13</c:f>
              <c:numCache>
                <c:formatCode>0.0</c:formatCode>
                <c:ptCount val="11"/>
                <c:pt idx="0">
                  <c:v>18.071999999999999</c:v>
                </c:pt>
                <c:pt idx="1">
                  <c:v>32.558399999999999</c:v>
                </c:pt>
                <c:pt idx="2">
                  <c:v>44.236800000000002</c:v>
                </c:pt>
                <c:pt idx="3">
                  <c:v>53.884799999999998</c:v>
                </c:pt>
                <c:pt idx="4">
                  <c:v>62.279999999999987</c:v>
                </c:pt>
                <c:pt idx="5">
                  <c:v>82.889999999999972</c:v>
                </c:pt>
                <c:pt idx="6">
                  <c:v>112.67999999999998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AAF-442B-8673-EDB65F954846}"/>
            </c:ext>
          </c:extLst>
        </c:ser>
        <c:ser>
          <c:idx val="7"/>
          <c:order val="6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Sheet2!$O$3:$O$13</c:f>
              <c:numCache>
                <c:formatCode>0.0</c:formatCode>
                <c:ptCount val="11"/>
                <c:pt idx="0">
                  <c:v>12.3606</c:v>
                </c:pt>
                <c:pt idx="1">
                  <c:v>23.808399999999999</c:v>
                </c:pt>
                <c:pt idx="2">
                  <c:v>34.449000000000005</c:v>
                </c:pt>
                <c:pt idx="3">
                  <c:v>44.387999999999998</c:v>
                </c:pt>
                <c:pt idx="4">
                  <c:v>53.730999999999995</c:v>
                </c:pt>
                <c:pt idx="5">
                  <c:v>75.173999999999992</c:v>
                </c:pt>
                <c:pt idx="6">
                  <c:v>95.201999999999998</c:v>
                </c:pt>
                <c:pt idx="7">
                  <c:v>194.16399999999999</c:v>
                </c:pt>
                <c:pt idx="8">
                  <c:v>402.48600000000005</c:v>
                </c:pt>
                <c:pt idx="9">
                  <c:v>825.76800000000003</c:v>
                </c:pt>
                <c:pt idx="10">
                  <c:v>1569.6100000000001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AAF-442B-8673-EDB65F954846}"/>
            </c:ext>
          </c:extLst>
        </c:ser>
        <c:ser>
          <c:idx val="8"/>
          <c:order val="7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Sheet2!$P$3:$P$13</c:f>
              <c:numCache>
                <c:formatCode>0.0</c:formatCode>
                <c:ptCount val="11"/>
                <c:pt idx="0">
                  <c:v>26.316977641942028</c:v>
                </c:pt>
                <c:pt idx="1">
                  <c:v>42.75205630904177</c:v>
                </c:pt>
                <c:pt idx="2">
                  <c:v>54.868570238343182</c:v>
                </c:pt>
                <c:pt idx="3">
                  <c:v>63.356767594314661</c:v>
                </c:pt>
                <c:pt idx="4">
                  <c:v>70.835019587771697</c:v>
                </c:pt>
                <c:pt idx="5">
                  <c:v>86.754826955046141</c:v>
                </c:pt>
                <c:pt idx="6">
                  <c:v>100.17584539199058</c:v>
                </c:pt>
                <c:pt idx="7">
                  <c:v>141.67003917554339</c:v>
                </c:pt>
                <c:pt idx="8">
                  <c:v>173.50965391009228</c:v>
                </c:pt>
                <c:pt idx="9">
                  <c:v>200.35169078398116</c:v>
                </c:pt>
                <c:pt idx="10">
                  <c:v>224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AAF-442B-8673-EDB65F954846}"/>
            </c:ext>
          </c:extLst>
        </c:ser>
        <c:ser>
          <c:idx val="9"/>
          <c:order val="8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Sheet2!$Q$3:$Q$13</c:f>
              <c:numCache>
                <c:formatCode>0.0</c:formatCode>
                <c:ptCount val="11"/>
                <c:pt idx="0">
                  <c:v>1.62</c:v>
                </c:pt>
                <c:pt idx="1">
                  <c:v>3.24</c:v>
                </c:pt>
                <c:pt idx="2">
                  <c:v>4.8600000000000003</c:v>
                </c:pt>
                <c:pt idx="3">
                  <c:v>6.48</c:v>
                </c:pt>
                <c:pt idx="4">
                  <c:v>8.1</c:v>
                </c:pt>
                <c:pt idx="5">
                  <c:v>12.15</c:v>
                </c:pt>
                <c:pt idx="6">
                  <c:v>16.2</c:v>
                </c:pt>
                <c:pt idx="7">
                  <c:v>32.4</c:v>
                </c:pt>
                <c:pt idx="8">
                  <c:v>48.6</c:v>
                </c:pt>
                <c:pt idx="9">
                  <c:v>64.8</c:v>
                </c:pt>
                <c:pt idx="10">
                  <c:v>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AAF-442B-8673-EDB65F954846}"/>
            </c:ext>
          </c:extLst>
        </c:ser>
        <c:ser>
          <c:idx val="10"/>
          <c:order val="9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Sheet2!$R$3:$R$13</c:f>
              <c:numCache>
                <c:formatCode>0.0</c:formatCode>
                <c:ptCount val="11"/>
                <c:pt idx="0">
                  <c:v>26.211096459779217</c:v>
                </c:pt>
                <c:pt idx="1">
                  <c:v>40.845515911049382</c:v>
                </c:pt>
                <c:pt idx="2">
                  <c:v>52.947174811809674</c:v>
                </c:pt>
                <c:pt idx="3">
                  <c:v>63.650758471698083</c:v>
                </c:pt>
                <c:pt idx="4">
                  <c:v>73.421962982795918</c:v>
                </c:pt>
                <c:pt idx="5">
                  <c:v>95.175331303005706</c:v>
                </c:pt>
                <c:pt idx="6">
                  <c:v>114.41558585067791</c:v>
                </c:pt>
                <c:pt idx="7">
                  <c:v>178.29714371190661</c:v>
                </c:pt>
                <c:pt idx="8">
                  <c:v>231.12280077742653</c:v>
                </c:pt>
                <c:pt idx="9">
                  <c:v>277.84563806991082</c:v>
                </c:pt>
                <c:pt idx="10">
                  <c:v>320.49849276141828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AAF-442B-8673-EDB65F954846}"/>
            </c:ext>
          </c:extLst>
        </c:ser>
        <c:ser>
          <c:idx val="11"/>
          <c:order val="10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Sheet2!$S$3:$S$13</c:f>
              <c:numCache>
                <c:formatCode>0.0</c:formatCode>
                <c:ptCount val="11"/>
                <c:pt idx="0">
                  <c:v>12.962429999999999</c:v>
                </c:pt>
                <c:pt idx="1">
                  <c:v>22.973130000000001</c:v>
                </c:pt>
                <c:pt idx="2">
                  <c:v>32.983829999999998</c:v>
                </c:pt>
                <c:pt idx="3">
                  <c:v>42.994529999999997</c:v>
                </c:pt>
                <c:pt idx="4">
                  <c:v>53.005229999999997</c:v>
                </c:pt>
                <c:pt idx="5">
                  <c:v>78.031980000000004</c:v>
                </c:pt>
                <c:pt idx="6">
                  <c:v>103.05873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AAF-442B-8673-EDB65F954846}"/>
            </c:ext>
          </c:extLst>
        </c:ser>
        <c:ser>
          <c:idx val="12"/>
          <c:order val="11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Sheet2!$T$3:$T$13</c:f>
              <c:numCache>
                <c:formatCode>General</c:formatCode>
                <c:ptCount val="11"/>
                <c:pt idx="0">
                  <c:v>25.860639618430348</c:v>
                </c:pt>
                <c:pt idx="1">
                  <c:v>52.351279236860691</c:v>
                </c:pt>
                <c:pt idx="2">
                  <c:v>67.84731003376065</c:v>
                </c:pt>
                <c:pt idx="3">
                  <c:v>78.841918855291041</c:v>
                </c:pt>
                <c:pt idx="4">
                  <c:v>87.37</c:v>
                </c:pt>
                <c:pt idx="5">
                  <c:v>102.86603079689996</c:v>
                </c:pt>
                <c:pt idx="6">
                  <c:v>113.86063961843035</c:v>
                </c:pt>
                <c:pt idx="7">
                  <c:v>140.35127923686068</c:v>
                </c:pt>
                <c:pt idx="8">
                  <c:v>155.84731003376064</c:v>
                </c:pt>
                <c:pt idx="9">
                  <c:v>166.84191885529103</c:v>
                </c:pt>
                <c:pt idx="10">
                  <c:v>175.37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AAF-442B-8673-EDB65F954846}"/>
            </c:ext>
          </c:extLst>
        </c:ser>
        <c:ser>
          <c:idx val="13"/>
          <c:order val="12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Sheet2!$U$3:$U$13</c:f>
              <c:numCache>
                <c:formatCode>General</c:formatCode>
                <c:ptCount val="11"/>
                <c:pt idx="0">
                  <c:v>21.247326345270508</c:v>
                </c:pt>
                <c:pt idx="1">
                  <c:v>34.149898991381576</c:v>
                </c:pt>
                <c:pt idx="2">
                  <c:v>45.07559824573724</c:v>
                </c:pt>
                <c:pt idx="3">
                  <c:v>54.88764008094379</c:v>
                </c:pt>
                <c:pt idx="4">
                  <c:v>63.946849595943903</c:v>
                </c:pt>
                <c:pt idx="5">
                  <c:v>84.40559376748962</c:v>
                </c:pt>
                <c:pt idx="6">
                  <c:v>102.77897647129812</c:v>
                </c:pt>
                <c:pt idx="7">
                  <c:v>165.19215678699686</c:v>
                </c:pt>
                <c:pt idx="8">
                  <c:v>218.04267399317027</c:v>
                </c:pt>
                <c:pt idx="9">
                  <c:v>265.50613365526397</c:v>
                </c:pt>
                <c:pt idx="10">
                  <c:v>309.32794287776932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AF-442B-8673-EDB65F954846}"/>
            </c:ext>
          </c:extLst>
        </c:ser>
        <c:ser>
          <c:idx val="14"/>
          <c:order val="13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AAF-442B-8673-EDB65F954846}"/>
            </c:ext>
          </c:extLst>
        </c:ser>
        <c:ser>
          <c:idx val="15"/>
          <c:order val="14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Sheet2!$V$3:$V$13</c:f>
              <c:numCache>
                <c:formatCode>General</c:formatCode>
                <c:ptCount val="11"/>
                <c:pt idx="0">
                  <c:v>24.242424242424242</c:v>
                </c:pt>
                <c:pt idx="1">
                  <c:v>27.27272727272727</c:v>
                </c:pt>
                <c:pt idx="2">
                  <c:v>30.303030303030301</c:v>
                </c:pt>
                <c:pt idx="3">
                  <c:v>33.333333333333329</c:v>
                </c:pt>
                <c:pt idx="4">
                  <c:v>36.36363636363636</c:v>
                </c:pt>
                <c:pt idx="5">
                  <c:v>43.939393939393938</c:v>
                </c:pt>
                <c:pt idx="6">
                  <c:v>51.515151515151516</c:v>
                </c:pt>
                <c:pt idx="7">
                  <c:v>81.818181818181813</c:v>
                </c:pt>
                <c:pt idx="8">
                  <c:v>112.12121212121211</c:v>
                </c:pt>
                <c:pt idx="9">
                  <c:v>142.42424242424241</c:v>
                </c:pt>
                <c:pt idx="10">
                  <c:v>172.72727272727272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AAF-442B-8673-EDB65F954846}"/>
            </c:ext>
          </c:extLst>
        </c:ser>
        <c:ser>
          <c:idx val="18"/>
          <c:order val="15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Sheet2!$X$3:$X$13</c:f>
              <c:numCache>
                <c:formatCode>General</c:formatCode>
                <c:ptCount val="11"/>
                <c:pt idx="0">
                  <c:v>74.314031919684382</c:v>
                </c:pt>
                <c:pt idx="1">
                  <c:v>111.86095483410715</c:v>
                </c:pt>
                <c:pt idx="2">
                  <c:v>142.09289574773695</c:v>
                </c:pt>
                <c:pt idx="3">
                  <c:v>168.37833842633606</c:v>
                </c:pt>
                <c:pt idx="4">
                  <c:v>192.07158808367635</c:v>
                </c:pt>
                <c:pt idx="5">
                  <c:v>243.98154103146081</c:v>
                </c:pt>
                <c:pt idx="6">
                  <c:v>289.11513323303205</c:v>
                </c:pt>
                <c:pt idx="7">
                  <c:v>435.18961392633872</c:v>
                </c:pt>
                <c:pt idx="8">
                  <c:v>552.80551228835509</c:v>
                </c:pt>
                <c:pt idx="9">
                  <c:v>655.06775086969935</c:v>
                </c:pt>
                <c:pt idx="10">
                  <c:v>747.24518835295612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1E-4EE7-A467-F21C5407EC43}"/>
            </c:ext>
          </c:extLst>
        </c:ser>
        <c:ser>
          <c:idx val="0"/>
          <c:order val="16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Sheet2!$B$3:$B$13</c:f>
              <c:numCache>
                <c:formatCode>0.0</c:formatCode>
                <c:ptCount val="11"/>
                <c:pt idx="0">
                  <c:v>25.051531930427295</c:v>
                </c:pt>
                <c:pt idx="1">
                  <c:v>40.845515911049382</c:v>
                </c:pt>
                <c:pt idx="2">
                  <c:v>50.588301734899126</c:v>
                </c:pt>
                <c:pt idx="3">
                  <c:v>58.849246308074683</c:v>
                </c:pt>
                <c:pt idx="4">
                  <c:v>66.703723359819008</c:v>
                </c:pt>
                <c:pt idx="5">
                  <c:v>85.580210361267888</c:v>
                </c:pt>
                <c:pt idx="6">
                  <c:v>103.05873</c:v>
                </c:pt>
                <c:pt idx="7">
                  <c:v>156.06879782739779</c:v>
                </c:pt>
                <c:pt idx="8">
                  <c:v>208.8568793753783</c:v>
                </c:pt>
                <c:pt idx="9">
                  <c:v>267.46827436163966</c:v>
                </c:pt>
                <c:pt idx="10">
                  <c:v>314.9132178195938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AAF-442B-8673-EDB65F954846}"/>
            </c:ext>
          </c:extLst>
        </c:ser>
        <c:ser>
          <c:idx val="17"/>
          <c:order val="17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Sheet2!$A$3:$A$13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40</c:v>
                </c:pt>
                <c:pt idx="8">
                  <c:v>60</c:v>
                </c:pt>
                <c:pt idx="9">
                  <c:v>80</c:v>
                </c:pt>
                <c:pt idx="10">
                  <c:v>100</c:v>
                </c:pt>
              </c:numCache>
            </c:numRef>
          </c:xVal>
          <c:yVal>
            <c:numRef>
              <c:f>Sheet2!$G$3:$G$13</c:f>
              <c:numCache>
                <c:formatCode>General</c:formatCode>
                <c:ptCount val="11"/>
                <c:pt idx="0">
                  <c:v>25.752320538567702</c:v>
                </c:pt>
                <c:pt idx="1">
                  <c:v>40.839195738541783</c:v>
                </c:pt>
                <c:pt idx="2">
                  <c:v>53.483798731768523</c:v>
                </c:pt>
                <c:pt idx="3">
                  <c:v>64.764645425762922</c:v>
                </c:pt>
                <c:pt idx="4">
                  <c:v>75.128994024594888</c:v>
                </c:pt>
                <c:pt idx="5">
                  <c:v>98.390380189087139</c:v>
                </c:pt>
                <c:pt idx="6">
                  <c:v>119.14295987482359</c:v>
                </c:pt>
                <c:pt idx="7">
                  <c:v>188.94229946812271</c:v>
                </c:pt>
                <c:pt idx="8">
                  <c:v>247.44248102647487</c:v>
                </c:pt>
                <c:pt idx="9">
                  <c:v>299.63325206801005</c:v>
                </c:pt>
                <c:pt idx="10">
                  <c:v>347.58385004965515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AF-442B-8673-EDB65F954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CBR (%)</a:t>
                </a:r>
              </a:p>
            </c:rich>
          </c:tx>
          <c:layout>
            <c:manualLayout>
              <c:xMode val="edge"/>
              <c:yMode val="edge"/>
              <c:x val="0.53592422722450361"/>
              <c:y val="0.87201445973099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534784"/>
        <c:crosses val="autoZero"/>
        <c:crossBetween val="midCat"/>
      </c:valAx>
      <c:valAx>
        <c:axId val="1456534784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</a:t>
                </a:r>
                <a:r>
                  <a:rPr lang="en-US" b="1" baseline="-25000"/>
                  <a:t>R</a:t>
                </a:r>
                <a:r>
                  <a:rPr lang="en-US" b="1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87312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68719294703547"/>
          <c:y val="5.897583114610673E-2"/>
          <c:w val="0.76517194966013868"/>
          <c:h val="0.71642607174103246"/>
        </c:manualLayout>
      </c:layout>
      <c:scatterChart>
        <c:scatterStyle val="smooth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Sheet2!$I$17:$I$27</c:f>
              <c:numCache>
                <c:formatCode>General</c:formatCode>
                <c:ptCount val="11"/>
                <c:pt idx="0">
                  <c:v>26.027719000000001</c:v>
                </c:pt>
                <c:pt idx="1">
                  <c:v>45.160677999999997</c:v>
                </c:pt>
                <c:pt idx="2">
                  <c:v>83.426595999999989</c:v>
                </c:pt>
                <c:pt idx="3">
                  <c:v>121.69251399999999</c:v>
                </c:pt>
                <c:pt idx="4">
                  <c:v>159.95843199999999</c:v>
                </c:pt>
                <c:pt idx="5">
                  <c:v>198.22435000000002</c:v>
                </c:pt>
                <c:pt idx="6">
                  <c:v>236.49026799999999</c:v>
                </c:pt>
                <c:pt idx="7">
                  <c:v>274.75618600000001</c:v>
                </c:pt>
                <c:pt idx="8">
                  <c:v>313.02210400000001</c:v>
                </c:pt>
                <c:pt idx="9">
                  <c:v>351.28802200000001</c:v>
                </c:pt>
                <c:pt idx="10">
                  <c:v>370.42098099999998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C-49A8-8E3E-150D436FA204}"/>
            </c:ext>
          </c:extLst>
        </c:ser>
        <c:ser>
          <c:idx val="3"/>
          <c:order val="1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Sheet2!$J$17:$J$27</c:f>
              <c:numCache>
                <c:formatCode>General</c:formatCode>
                <c:ptCount val="11"/>
                <c:pt idx="0">
                  <c:v>17.846569633608809</c:v>
                </c:pt>
                <c:pt idx="1">
                  <c:v>21.195975152745596</c:v>
                </c:pt>
                <c:pt idx="2">
                  <c:v>29.898589709214534</c:v>
                </c:pt>
                <c:pt idx="3">
                  <c:v>42.174311875627765</c:v>
                </c:pt>
                <c:pt idx="4">
                  <c:v>59.490183298998275</c:v>
                </c:pt>
                <c:pt idx="5">
                  <c:v>83.91558158400268</c:v>
                </c:pt>
                <c:pt idx="6">
                  <c:v>118.36952656859576</c:v>
                </c:pt>
                <c:pt idx="7">
                  <c:v>166.96952527281968</c:v>
                </c:pt>
                <c:pt idx="8">
                  <c:v>235.52364513069878</c:v>
                </c:pt>
                <c:pt idx="9">
                  <c:v>332.22462197825587</c:v>
                </c:pt>
                <c:pt idx="10">
                  <c:v>394.57581917144375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7C-49A8-8E3E-150D436FA204}"/>
            </c:ext>
          </c:extLst>
        </c:ser>
        <c:ser>
          <c:idx val="4"/>
          <c:order val="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Sheet2!$K$17:$K$27</c:f>
              <c:numCache>
                <c:formatCode>General</c:formatCode>
                <c:ptCount val="11"/>
                <c:pt idx="0">
                  <c:v>20.524847558989766</c:v>
                </c:pt>
                <c:pt idx="1">
                  <c:v>24.182669209097657</c:v>
                </c:pt>
                <c:pt idx="2">
                  <c:v>33.570114716592094</c:v>
                </c:pt>
                <c:pt idx="3">
                  <c:v>46.601663048063656</c:v>
                </c:pt>
                <c:pt idx="4">
                  <c:v>64.69191473366898</c:v>
                </c:pt>
                <c:pt idx="5">
                  <c:v>89.804602629566247</c:v>
                </c:pt>
                <c:pt idx="6">
                  <c:v>124.66575903119664</c:v>
                </c:pt>
                <c:pt idx="7">
                  <c:v>173.05963190919636</c:v>
                </c:pt>
                <c:pt idx="8">
                  <c:v>240.23947256481134</c:v>
                </c:pt>
                <c:pt idx="9">
                  <c:v>333.49778652309601</c:v>
                </c:pt>
                <c:pt idx="10">
                  <c:v>392.93186613324832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7C-49A8-8E3E-150D436FA204}"/>
            </c:ext>
          </c:extLst>
        </c:ser>
        <c:ser>
          <c:idx val="5"/>
          <c:order val="3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Sheet2!$L$17:$L$27</c:f>
              <c:numCache>
                <c:formatCode>General</c:formatCode>
                <c:ptCount val="11"/>
                <c:pt idx="0">
                  <c:v>26.7</c:v>
                </c:pt>
                <c:pt idx="1">
                  <c:v>45.7</c:v>
                </c:pt>
                <c:pt idx="2">
                  <c:v>83.7</c:v>
                </c:pt>
                <c:pt idx="3">
                  <c:v>121.7</c:v>
                </c:pt>
                <c:pt idx="4">
                  <c:v>159.69999999999999</c:v>
                </c:pt>
                <c:pt idx="5">
                  <c:v>197.7</c:v>
                </c:pt>
                <c:pt idx="6">
                  <c:v>235.7</c:v>
                </c:pt>
                <c:pt idx="7">
                  <c:v>273.7</c:v>
                </c:pt>
                <c:pt idx="8">
                  <c:v>311.7</c:v>
                </c:pt>
                <c:pt idx="9">
                  <c:v>349.7</c:v>
                </c:pt>
                <c:pt idx="10">
                  <c:v>368.7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7C-49A8-8E3E-150D436FA204}"/>
            </c:ext>
          </c:extLst>
        </c:ser>
        <c:ser>
          <c:idx val="6"/>
          <c:order val="4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Sheet2!$M$17:$M$27</c:f>
              <c:numCache>
                <c:formatCode>General</c:formatCode>
                <c:ptCount val="11"/>
                <c:pt idx="0">
                  <c:v>24.011492375155282</c:v>
                </c:pt>
                <c:pt idx="1">
                  <c:v>27.920240403350157</c:v>
                </c:pt>
                <c:pt idx="2">
                  <c:v>37.750191007158072</c:v>
                </c:pt>
                <c:pt idx="3">
                  <c:v>51.040997516121763</c:v>
                </c:pt>
                <c:pt idx="4">
                  <c:v>69.011132339615486</c:v>
                </c:pt>
                <c:pt idx="5">
                  <c:v>93.308058591363377</c:v>
                </c:pt>
                <c:pt idx="6">
                  <c:v>126.15926594630652</c:v>
                </c:pt>
                <c:pt idx="7">
                  <c:v>170.57648207873115</c:v>
                </c:pt>
                <c:pt idx="8">
                  <c:v>230.63178134485267</c:v>
                </c:pt>
                <c:pt idx="9">
                  <c:v>311.83090375699715</c:v>
                </c:pt>
                <c:pt idx="10">
                  <c:v>362.59278107585766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57C-49A8-8E3E-150D436FA204}"/>
            </c:ext>
          </c:extLst>
        </c:ser>
        <c:ser>
          <c:idx val="7"/>
          <c:order val="5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Sheet2!$N$17:$N$27</c:f>
              <c:numCache>
                <c:formatCode>General</c:formatCode>
                <c:ptCount val="11"/>
                <c:pt idx="0">
                  <c:v>9.5975362395829276</c:v>
                </c:pt>
                <c:pt idx="1">
                  <c:v>11.658160697336811</c:v>
                </c:pt>
                <c:pt idx="2">
                  <c:v>17.20166916909259</c:v>
                </c:pt>
                <c:pt idx="3">
                  <c:v>25.381141149521618</c:v>
                </c:pt>
                <c:pt idx="4">
                  <c:v>37.449989284145808</c:v>
                </c:pt>
                <c:pt idx="5">
                  <c:v>55.257629636131334</c:v>
                </c:pt>
                <c:pt idx="6">
                  <c:v>81.532884023988032</c:v>
                </c:pt>
                <c:pt idx="7">
                  <c:v>120.30214146070441</c:v>
                </c:pt>
                <c:pt idx="8">
                  <c:v>177.50635726038254</c:v>
                </c:pt>
                <c:pt idx="9">
                  <c:v>261.91143802824553</c:v>
                </c:pt>
                <c:pt idx="10">
                  <c:v>318.14473598033993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57C-49A8-8E3E-150D436FA204}"/>
            </c:ext>
          </c:extLst>
        </c:ser>
        <c:ser>
          <c:idx val="8"/>
          <c:order val="6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Sheet2!$O$17:$O$27</c:f>
              <c:numCache>
                <c:formatCode>General</c:formatCode>
                <c:ptCount val="11"/>
                <c:pt idx="0">
                  <c:v>26.351005241060516</c:v>
                </c:pt>
                <c:pt idx="1">
                  <c:v>32.008657843838293</c:v>
                </c:pt>
                <c:pt idx="2">
                  <c:v>47.228920330645856</c:v>
                </c:pt>
                <c:pt idx="3">
                  <c:v>69.68648690241416</c:v>
                </c:pt>
                <c:pt idx="4">
                  <c:v>102.82272859092335</c:v>
                </c:pt>
                <c:pt idx="5">
                  <c:v>151.71540401639103</c:v>
                </c:pt>
                <c:pt idx="6">
                  <c:v>223.85676913351804</c:v>
                </c:pt>
                <c:pt idx="7">
                  <c:v>330.30168170321855</c:v>
                </c:pt>
                <c:pt idx="8">
                  <c:v>487.3616346660616</c:v>
                </c:pt>
                <c:pt idx="9">
                  <c:v>719.10431009489105</c:v>
                </c:pt>
                <c:pt idx="10">
                  <c:v>873.49851002990999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57C-49A8-8E3E-150D436FA204}"/>
            </c:ext>
          </c:extLst>
        </c:ser>
        <c:ser>
          <c:idx val="9"/>
          <c:order val="7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Sheet2!$P$17:$P$27</c:f>
              <c:numCache>
                <c:formatCode>General</c:formatCode>
                <c:ptCount val="11"/>
                <c:pt idx="0">
                  <c:v>2.3696864239785698</c:v>
                </c:pt>
                <c:pt idx="1">
                  <c:v>3.0748546622595776</c:v>
                </c:pt>
                <c:pt idx="2">
                  <c:v>5.1771651381443604</c:v>
                </c:pt>
                <c:pt idx="3">
                  <c:v>8.716847399844557</c:v>
                </c:pt>
                <c:pt idx="4">
                  <c:v>14.676647656522585</c:v>
                </c:pt>
                <c:pt idx="5">
                  <c:v>24.71122603770154</c:v>
                </c:pt>
                <c:pt idx="6">
                  <c:v>41.606551208238365</c:v>
                </c:pt>
                <c:pt idx="7">
                  <c:v>70.053387913762009</c:v>
                </c:pt>
                <c:pt idx="8">
                  <c:v>117.94962609696675</c:v>
                </c:pt>
                <c:pt idx="9">
                  <c:v>198.59302612945032</c:v>
                </c:pt>
                <c:pt idx="10">
                  <c:v>257.69008342510602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57C-49A8-8E3E-150D436FA204}"/>
            </c:ext>
          </c:extLst>
        </c:ser>
        <c:ser>
          <c:idx val="10"/>
          <c:order val="8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Sheet2!$Q$17:$Q$27</c:f>
              <c:numCache>
                <c:formatCode>General</c:formatCode>
                <c:ptCount val="11"/>
                <c:pt idx="0">
                  <c:v>11.996882400000001</c:v>
                </c:pt>
                <c:pt idx="1">
                  <c:v>13.961889000000003</c:v>
                </c:pt>
                <c:pt idx="2">
                  <c:v>17.891902200000001</c:v>
                </c:pt>
                <c:pt idx="3">
                  <c:v>21.821915399999998</c:v>
                </c:pt>
                <c:pt idx="4">
                  <c:v>25.751928600000003</c:v>
                </c:pt>
                <c:pt idx="5">
                  <c:v>29.681941799999997</c:v>
                </c:pt>
                <c:pt idx="6">
                  <c:v>33.611955000000002</c:v>
                </c:pt>
                <c:pt idx="7">
                  <c:v>37.541968199999999</c:v>
                </c:pt>
                <c:pt idx="8">
                  <c:v>41.471981400000004</c:v>
                </c:pt>
                <c:pt idx="9">
                  <c:v>45.401994599999995</c:v>
                </c:pt>
                <c:pt idx="10">
                  <c:v>47.367001199999997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57C-49A8-8E3E-150D436FA204}"/>
            </c:ext>
          </c:extLst>
        </c:ser>
        <c:ser>
          <c:idx val="11"/>
          <c:order val="9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Sheet2!$R$17:$R$27</c:f>
              <c:numCache>
                <c:formatCode>General</c:formatCode>
                <c:ptCount val="11"/>
                <c:pt idx="0">
                  <c:v>12.34851516</c:v>
                </c:pt>
                <c:pt idx="1">
                  <c:v>13.658519559999998</c:v>
                </c:pt>
                <c:pt idx="2">
                  <c:v>16.278528359999999</c:v>
                </c:pt>
                <c:pt idx="3">
                  <c:v>18.898537159999997</c:v>
                </c:pt>
                <c:pt idx="4">
                  <c:v>21.518545960000001</c:v>
                </c:pt>
                <c:pt idx="5">
                  <c:v>24.138554759999998</c:v>
                </c:pt>
                <c:pt idx="6">
                  <c:v>26.758563559999999</c:v>
                </c:pt>
                <c:pt idx="7">
                  <c:v>29.37857236</c:v>
                </c:pt>
                <c:pt idx="8">
                  <c:v>31.998581160000001</c:v>
                </c:pt>
                <c:pt idx="9">
                  <c:v>34.618589960000001</c:v>
                </c:pt>
                <c:pt idx="10">
                  <c:v>35.928594359999998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57C-49A8-8E3E-150D436FA204}"/>
            </c:ext>
          </c:extLst>
        </c:ser>
        <c:ser>
          <c:idx val="12"/>
          <c:order val="10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Sheet2!$V$17:$V$27</c:f>
              <c:numCache>
                <c:formatCode>General</c:formatCode>
                <c:ptCount val="11"/>
                <c:pt idx="0">
                  <c:v>28.440884999999998</c:v>
                </c:pt>
                <c:pt idx="1">
                  <c:v>32.750109999999999</c:v>
                </c:pt>
                <c:pt idx="2">
                  <c:v>41.368560000000002</c:v>
                </c:pt>
                <c:pt idx="3">
                  <c:v>49.987009999999998</c:v>
                </c:pt>
                <c:pt idx="4">
                  <c:v>58.605460000000001</c:v>
                </c:pt>
                <c:pt idx="5">
                  <c:v>67.223910000000004</c:v>
                </c:pt>
                <c:pt idx="6">
                  <c:v>75.842359999999999</c:v>
                </c:pt>
                <c:pt idx="7">
                  <c:v>84.460809999999995</c:v>
                </c:pt>
                <c:pt idx="8">
                  <c:v>93.079259999999991</c:v>
                </c:pt>
                <c:pt idx="9">
                  <c:v>101.69771</c:v>
                </c:pt>
                <c:pt idx="10">
                  <c:v>106.006935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57C-49A8-8E3E-150D436FA204}"/>
            </c:ext>
          </c:extLst>
        </c:ser>
        <c:ser>
          <c:idx val="13"/>
          <c:order val="11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Sheet2!$S$17:$S$27</c:f>
              <c:numCache>
                <c:formatCode>General</c:formatCode>
                <c:ptCount val="11"/>
                <c:pt idx="0">
                  <c:v>20.788372044332295</c:v>
                </c:pt>
                <c:pt idx="1">
                  <c:v>29.747672284940229</c:v>
                </c:pt>
                <c:pt idx="2">
                  <c:v>42.568220565085802</c:v>
                </c:pt>
                <c:pt idx="3">
                  <c:v>52.495814344559136</c:v>
                </c:pt>
                <c:pt idx="4">
                  <c:v>60.91412412779426</c:v>
                </c:pt>
                <c:pt idx="5">
                  <c:v>68.362900500353689</c:v>
                </c:pt>
                <c:pt idx="6">
                  <c:v>75.120277726546121</c:v>
                </c:pt>
                <c:pt idx="7">
                  <c:v>81.352082570717329</c:v>
                </c:pt>
                <c:pt idx="8">
                  <c:v>87.166681364634755</c:v>
                </c:pt>
                <c:pt idx="9">
                  <c:v>92.639534861810034</c:v>
                </c:pt>
                <c:pt idx="10">
                  <c:v>95.265596776508076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57C-49A8-8E3E-150D436FA204}"/>
            </c:ext>
          </c:extLst>
        </c:ser>
        <c:ser>
          <c:idx val="14"/>
          <c:order val="12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Sheet2!$T$17:$T$27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57C-49A8-8E3E-150D436FA204}"/>
            </c:ext>
          </c:extLst>
        </c:ser>
        <c:ser>
          <c:idx val="15"/>
          <c:order val="13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Sheet2!$U$17:$U$27</c:f>
              <c:numCache>
                <c:formatCode>General</c:formatCode>
                <c:ptCount val="11"/>
                <c:pt idx="0">
                  <c:v>20.367121039999997</c:v>
                </c:pt>
                <c:pt idx="1">
                  <c:v>27.916883239999997</c:v>
                </c:pt>
                <c:pt idx="2">
                  <c:v>43.016407639999997</c:v>
                </c:pt>
                <c:pt idx="3">
                  <c:v>58.115932039999997</c:v>
                </c:pt>
                <c:pt idx="4">
                  <c:v>73.215456439999997</c:v>
                </c:pt>
                <c:pt idx="5">
                  <c:v>88.31498083999999</c:v>
                </c:pt>
                <c:pt idx="6">
                  <c:v>103.41450524</c:v>
                </c:pt>
                <c:pt idx="7">
                  <c:v>118.51402963999999</c:v>
                </c:pt>
                <c:pt idx="8">
                  <c:v>133.61355403999997</c:v>
                </c:pt>
                <c:pt idx="9">
                  <c:v>148.71307844</c:v>
                </c:pt>
                <c:pt idx="10">
                  <c:v>156.26284064000001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57C-49A8-8E3E-150D436FA204}"/>
            </c:ext>
          </c:extLst>
        </c:ser>
        <c:ser>
          <c:idx val="16"/>
          <c:order val="14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Sheet2!$W$17:$W$27</c:f>
              <c:numCache>
                <c:formatCode>General</c:formatCode>
                <c:ptCount val="11"/>
                <c:pt idx="0">
                  <c:v>32.844468237980003</c:v>
                </c:pt>
                <c:pt idx="1">
                  <c:v>42.816821574899997</c:v>
                </c:pt>
                <c:pt idx="2">
                  <c:v>62.234854769239995</c:v>
                </c:pt>
                <c:pt idx="3">
                  <c:v>80.950656657579998</c:v>
                </c:pt>
                <c:pt idx="4">
                  <c:v>98.964227239920007</c:v>
                </c:pt>
                <c:pt idx="5">
                  <c:v>116.27556651625999</c:v>
                </c:pt>
                <c:pt idx="6">
                  <c:v>132.88467448660001</c:v>
                </c:pt>
                <c:pt idx="7">
                  <c:v>148.79155115093997</c:v>
                </c:pt>
                <c:pt idx="8">
                  <c:v>163.99619650928</c:v>
                </c:pt>
                <c:pt idx="9">
                  <c:v>178.49861056161998</c:v>
                </c:pt>
                <c:pt idx="10">
                  <c:v>185.48648084803997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B57C-49A8-8E3E-150D436FA204}"/>
            </c:ext>
          </c:extLst>
        </c:ser>
        <c:ser>
          <c:idx val="0"/>
          <c:order val="15"/>
          <c:spPr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Sheet2!$X$17:$X$27</c:f>
              <c:numCache>
                <c:formatCode>General</c:formatCode>
                <c:ptCount val="11"/>
                <c:pt idx="0">
                  <c:v>20.858755053411709</c:v>
                </c:pt>
                <c:pt idx="1">
                  <c:v>24.56185187450048</c:v>
                </c:pt>
                <c:pt idx="2">
                  <c:v>34.057013026368274</c:v>
                </c:pt>
                <c:pt idx="3">
                  <c:v>47.222829215185435</c:v>
                </c:pt>
                <c:pt idx="4">
                  <c:v>65.478308310832332</c:v>
                </c:pt>
                <c:pt idx="5">
                  <c:v>90.79102058268262</c:v>
                </c:pt>
                <c:pt idx="6">
                  <c:v>125.8891628555016</c:v>
                </c:pt>
                <c:pt idx="7">
                  <c:v>174.55560277600645</c:v>
                </c:pt>
                <c:pt idx="8">
                  <c:v>242.03559519629789</c:v>
                </c:pt>
                <c:pt idx="9">
                  <c:v>335.60211422831719</c:v>
                </c:pt>
                <c:pt idx="10">
                  <c:v>395.18223390311437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B57C-49A8-8E3E-150D436FA204}"/>
            </c:ext>
          </c:extLst>
        </c:ser>
        <c:ser>
          <c:idx val="17"/>
          <c:order val="16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Sheet2!$Y$17:$Y$27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B57C-49A8-8E3E-150D436FA204}"/>
            </c:ext>
          </c:extLst>
        </c:ser>
        <c:ser>
          <c:idx val="18"/>
          <c:order val="17"/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Sheet2!$Z$17:$Z$27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B57C-49A8-8E3E-150D436FA204}"/>
            </c:ext>
          </c:extLst>
        </c:ser>
        <c:ser>
          <c:idx val="1"/>
          <c:order val="18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Sheet2!$B$17:$B$27</c:f>
              <c:numCache>
                <c:formatCode>0.0</c:formatCode>
                <c:ptCount val="11"/>
                <c:pt idx="0">
                  <c:v>20.788372044332295</c:v>
                </c:pt>
                <c:pt idx="1">
                  <c:v>27.916883239999997</c:v>
                </c:pt>
                <c:pt idx="2">
                  <c:v>37.750191007158072</c:v>
                </c:pt>
                <c:pt idx="3">
                  <c:v>49.987009999999998</c:v>
                </c:pt>
                <c:pt idx="4">
                  <c:v>64.69191473366898</c:v>
                </c:pt>
                <c:pt idx="5">
                  <c:v>88.31498083999999</c:v>
                </c:pt>
                <c:pt idx="6">
                  <c:v>118.36952656859576</c:v>
                </c:pt>
                <c:pt idx="7">
                  <c:v>148.79155115093997</c:v>
                </c:pt>
                <c:pt idx="8">
                  <c:v>177.50635726038254</c:v>
                </c:pt>
                <c:pt idx="9">
                  <c:v>261.91143802824553</c:v>
                </c:pt>
                <c:pt idx="10">
                  <c:v>318.14473598033993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B57C-49A8-8E3E-150D436FA204}"/>
            </c:ext>
          </c:extLst>
        </c:ser>
        <c:ser>
          <c:idx val="19"/>
          <c:order val="19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Sheet2!$A$17:$A$27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Sheet2!$G$17:$G$27</c:f>
              <c:numCache>
                <c:formatCode>General</c:formatCode>
                <c:ptCount val="11"/>
                <c:pt idx="0">
                  <c:v>19.044375606310187</c:v>
                </c:pt>
                <c:pt idx="1">
                  <c:v>38.184612648900753</c:v>
                </c:pt>
                <c:pt idx="2">
                  <c:v>77.153906603543419</c:v>
                </c:pt>
                <c:pt idx="3">
                  <c:v>117.79384295766368</c:v>
                </c:pt>
                <c:pt idx="4">
                  <c:v>161.22802845037253</c:v>
                </c:pt>
                <c:pt idx="5">
                  <c:v>209.04938111417655</c:v>
                </c:pt>
                <c:pt idx="6">
                  <c:v>263.79094902126616</c:v>
                </c:pt>
                <c:pt idx="7">
                  <c:v>330.06846987711748</c:v>
                </c:pt>
                <c:pt idx="8">
                  <c:v>418.09876222835311</c:v>
                </c:pt>
                <c:pt idx="9">
                  <c:v>560.28241507241546</c:v>
                </c:pt>
                <c:pt idx="10">
                  <c:v>697.12063363638902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B57C-49A8-8E3E-150D436FA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 val="autoZero"/>
        <c:crossBetween val="midCat"/>
      </c:valAx>
      <c:valAx>
        <c:axId val="1456534784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</a:t>
                </a:r>
                <a:r>
                  <a:rPr lang="en-US" baseline="-25000"/>
                  <a:t>R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 val="autoZero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89373443704154"/>
          <c:y val="5.203138670166229E-2"/>
          <c:w val="0.7251319065885995"/>
          <c:h val="0.72973698600174985"/>
        </c:manualLayout>
      </c:layout>
      <c:scatterChart>
        <c:scatterStyle val="smoothMarker"/>
        <c:varyColors val="0"/>
        <c:ser>
          <c:idx val="7"/>
          <c:order val="0"/>
          <c:spPr>
            <a:effectLst/>
          </c:spPr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Sheet2!$I$31:$I$35</c:f>
              <c:numCache>
                <c:formatCode>General</c:formatCode>
                <c:ptCount val="5"/>
                <c:pt idx="0">
                  <c:v>13.194191502109614</c:v>
                </c:pt>
                <c:pt idx="1">
                  <c:v>37.712805147839127</c:v>
                </c:pt>
                <c:pt idx="2">
                  <c:v>151.15699317239969</c:v>
                </c:pt>
                <c:pt idx="3">
                  <c:v>432.05028738081506</c:v>
                </c:pt>
                <c:pt idx="4">
                  <c:v>1234.9243452662768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FB-44FB-BD42-2CCCE4F89526}"/>
            </c:ext>
          </c:extLst>
        </c:ser>
        <c:ser>
          <c:idx val="8"/>
          <c:order val="1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Sheet2!$J$31:$J$35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1FB-44FB-BD42-2CCCE4F89526}"/>
            </c:ext>
          </c:extLst>
        </c:ser>
        <c:ser>
          <c:idx val="9"/>
          <c:order val="2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Sheet2!$K$31:$K$35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FB-44FB-BD42-2CCCE4F89526}"/>
            </c:ext>
          </c:extLst>
        </c:ser>
        <c:ser>
          <c:idx val="3"/>
          <c:order val="3"/>
          <c:spPr>
            <a:effectLst/>
          </c:spPr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Sheet2!$L$31:$L$35</c:f>
              <c:numCache>
                <c:formatCode>General</c:formatCode>
                <c:ptCount val="5"/>
                <c:pt idx="0">
                  <c:v>484</c:v>
                </c:pt>
                <c:pt idx="1">
                  <c:v>968</c:v>
                </c:pt>
                <c:pt idx="2">
                  <c:v>2420</c:v>
                </c:pt>
                <c:pt idx="3">
                  <c:v>4840</c:v>
                </c:pt>
                <c:pt idx="4">
                  <c:v>9680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1FB-44FB-BD42-2CCCE4F89526}"/>
            </c:ext>
          </c:extLst>
        </c:ser>
        <c:ser>
          <c:idx val="0"/>
          <c:order val="4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Sheet2!$M$31:$M$35</c:f>
              <c:numCache>
                <c:formatCode>General</c:formatCode>
                <c:ptCount val="5"/>
                <c:pt idx="0">
                  <c:v>620.52840000000003</c:v>
                </c:pt>
                <c:pt idx="1">
                  <c:v>1241.0568000000001</c:v>
                </c:pt>
                <c:pt idx="2">
                  <c:v>3102.6419999999998</c:v>
                </c:pt>
                <c:pt idx="3">
                  <c:v>6205.2839999999997</c:v>
                </c:pt>
                <c:pt idx="4">
                  <c:v>12410.567999999999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1FB-44FB-BD42-2CCCE4F89526}"/>
            </c:ext>
          </c:extLst>
        </c:ser>
        <c:ser>
          <c:idx val="6"/>
          <c:order val="5"/>
          <c:spPr>
            <a:effectLst/>
          </c:spPr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Sheet2!$N$31:$N$35</c:f>
              <c:numCache>
                <c:formatCode>General</c:formatCode>
                <c:ptCount val="5"/>
                <c:pt idx="1">
                  <c:v>15.589016829052301</c:v>
                </c:pt>
                <c:pt idx="2">
                  <c:v>1078.476527900797</c:v>
                </c:pt>
                <c:pt idx="3">
                  <c:v>2849.9557130203721</c:v>
                </c:pt>
                <c:pt idx="4">
                  <c:v>6392.9140832595212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1FB-44FB-BD42-2CCCE4F89526}"/>
            </c:ext>
          </c:extLst>
        </c:ser>
        <c:ser>
          <c:idx val="1"/>
          <c:order val="6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Sheet2!$O$31:$O$35</c:f>
              <c:numCache>
                <c:formatCode>General</c:formatCode>
                <c:ptCount val="5"/>
                <c:pt idx="0">
                  <c:v>209.41011497484587</c:v>
                </c:pt>
                <c:pt idx="1">
                  <c:v>385.39320343157675</c:v>
                </c:pt>
                <c:pt idx="2">
                  <c:v>863.15990600573537</c:v>
                </c:pt>
                <c:pt idx="3">
                  <c:v>1588.5381720420107</c:v>
                </c:pt>
                <c:pt idx="4">
                  <c:v>2923.5064169185439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1FB-44FB-BD42-2CCCE4F89526}"/>
            </c:ext>
          </c:extLst>
        </c:ser>
        <c:ser>
          <c:idx val="2"/>
          <c:order val="7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Sheet2!$P$31:$P$35</c:f>
              <c:numCache>
                <c:formatCode>General</c:formatCode>
                <c:ptCount val="5"/>
                <c:pt idx="0">
                  <c:v>3172.6</c:v>
                </c:pt>
                <c:pt idx="1">
                  <c:v>5990.6</c:v>
                </c:pt>
                <c:pt idx="2">
                  <c:v>14444.599999999999</c:v>
                </c:pt>
                <c:pt idx="3">
                  <c:v>28534.600000000002</c:v>
                </c:pt>
                <c:pt idx="4">
                  <c:v>56714.6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1FB-44FB-BD42-2CCCE4F89526}"/>
            </c:ext>
          </c:extLst>
        </c:ser>
        <c:ser>
          <c:idx val="4"/>
          <c:order val="8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Sheet2!$Q$31:$Q$35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1FB-44FB-BD42-2CCCE4F89526}"/>
            </c:ext>
          </c:extLst>
        </c:ser>
        <c:ser>
          <c:idx val="5"/>
          <c:order val="9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Sheet2!$R$31:$R$35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21FB-44FB-BD42-2CCCE4F89526}"/>
            </c:ext>
          </c:extLst>
        </c:ser>
        <c:ser>
          <c:idx val="10"/>
          <c:order val="10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Sheet2!$S$31:$S$35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21FB-44FB-BD42-2CCCE4F89526}"/>
            </c:ext>
          </c:extLst>
        </c:ser>
        <c:ser>
          <c:idx val="11"/>
          <c:order val="11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Sheet2!$T$31:$T$35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21FB-44FB-BD42-2CCCE4F89526}"/>
            </c:ext>
          </c:extLst>
        </c:ser>
        <c:ser>
          <c:idx val="12"/>
          <c:order val="12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Sheet2!$U$31:$U$35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21FB-44FB-BD42-2CCCE4F89526}"/>
            </c:ext>
          </c:extLst>
        </c:ser>
        <c:ser>
          <c:idx val="13"/>
          <c:order val="13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Sheet2!$V$31:$V$35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21FB-44FB-BD42-2CCCE4F89526}"/>
            </c:ext>
          </c:extLst>
        </c:ser>
        <c:ser>
          <c:idx val="14"/>
          <c:order val="14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Sheet2!$W$31:$W$35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21FB-44FB-BD42-2CCCE4F89526}"/>
            </c:ext>
          </c:extLst>
        </c:ser>
        <c:ser>
          <c:idx val="15"/>
          <c:order val="15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Sheet2!$X$31:$X$35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21FB-44FB-BD42-2CCCE4F89526}"/>
            </c:ext>
          </c:extLst>
        </c:ser>
        <c:ser>
          <c:idx val="16"/>
          <c:order val="16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Sheet2!$Y$31:$Y$35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21FB-44FB-BD42-2CCCE4F89526}"/>
            </c:ext>
          </c:extLst>
        </c:ser>
        <c:ser>
          <c:idx val="17"/>
          <c:order val="17"/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Sheet2!$Z$31:$Z$35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21FB-44FB-BD42-2CCCE4F89526}"/>
            </c:ext>
          </c:extLst>
        </c:ser>
        <c:ser>
          <c:idx val="18"/>
          <c:order val="18"/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Sheet2!$B$31:$B$35</c:f>
              <c:numCache>
                <c:formatCode>0.0</c:formatCode>
                <c:ptCount val="5"/>
                <c:pt idx="0">
                  <c:v>484</c:v>
                </c:pt>
                <c:pt idx="1">
                  <c:v>676.69660171578835</c:v>
                </c:pt>
                <c:pt idx="2">
                  <c:v>1749.2382639503985</c:v>
                </c:pt>
                <c:pt idx="3">
                  <c:v>3844.977856510186</c:v>
                </c:pt>
                <c:pt idx="4">
                  <c:v>8036.4570416297611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21FB-44FB-BD42-2CCCE4F89526}"/>
            </c:ext>
          </c:extLst>
        </c:ser>
        <c:ser>
          <c:idx val="19"/>
          <c:order val="19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Sheet2!$A$31:$A$35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</c:numCache>
            </c:numRef>
          </c:xVal>
          <c:yVal>
            <c:numRef>
              <c:f>Sheet2!$G$31:$G$35</c:f>
              <c:numCache>
                <c:formatCode>General</c:formatCode>
                <c:ptCount val="5"/>
                <c:pt idx="0">
                  <c:v>445.58415258886998</c:v>
                </c:pt>
                <c:pt idx="1">
                  <c:v>962.14452472407436</c:v>
                </c:pt>
                <c:pt idx="2">
                  <c:v>2661.7965379925627</c:v>
                </c:pt>
                <c:pt idx="3">
                  <c:v>5747.5853889311084</c:v>
                </c:pt>
                <c:pt idx="4">
                  <c:v>12410.692301812098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8-21FB-44FB-BD42-2CCCE4F89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CBR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221392948053809"/>
              <c:y val="0.8859609457385516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UCS</a:t>
                </a:r>
                <a:r>
                  <a:rPr lang="en-US" baseline="0"/>
                  <a:t> (kPa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087253516387375"/>
          <c:y val="5.365868328958881E-2"/>
          <c:w val="0.76098660744330038"/>
          <c:h val="0.72973698600174985"/>
        </c:manualLayout>
      </c:layout>
      <c:scatterChart>
        <c:scatterStyle val="smoothMarker"/>
        <c:varyColors val="0"/>
        <c:ser>
          <c:idx val="4"/>
          <c:order val="0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Sheet2!$I$39:$I$45</c:f>
              <c:numCache>
                <c:formatCode>General</c:formatCode>
                <c:ptCount val="7"/>
                <c:pt idx="0">
                  <c:v>1.8407720014689564</c:v>
                </c:pt>
                <c:pt idx="1">
                  <c:v>4.0707960555958573</c:v>
                </c:pt>
                <c:pt idx="2">
                  <c:v>11.623064690530757</c:v>
                </c:pt>
                <c:pt idx="3">
                  <c:v>25.703957827688658</c:v>
                </c:pt>
                <c:pt idx="4">
                  <c:v>56.843308163453628</c:v>
                </c:pt>
                <c:pt idx="5">
                  <c:v>162.30079792363591</c:v>
                </c:pt>
                <c:pt idx="6">
                  <c:v>358.92193464500571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FC-4DDE-A8BE-E741FE70F084}"/>
            </c:ext>
          </c:extLst>
        </c:ser>
        <c:ser>
          <c:idx val="5"/>
          <c:order val="1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Sheet2!$J$39:$J$45</c:f>
              <c:numCache>
                <c:formatCode>General</c:formatCode>
                <c:ptCount val="7"/>
                <c:pt idx="0">
                  <c:v>1.4829699999999999</c:v>
                </c:pt>
                <c:pt idx="1">
                  <c:v>4.7039399999999993</c:v>
                </c:pt>
                <c:pt idx="2">
                  <c:v>14.366849999999999</c:v>
                </c:pt>
                <c:pt idx="3">
                  <c:v>30.471699999999998</c:v>
                </c:pt>
                <c:pt idx="4">
                  <c:v>62.681399999999996</c:v>
                </c:pt>
                <c:pt idx="5">
                  <c:v>159.31049999999999</c:v>
                </c:pt>
                <c:pt idx="6">
                  <c:v>320.35899999999998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FC-4DDE-A8BE-E741FE70F084}"/>
            </c:ext>
          </c:extLst>
        </c:ser>
        <c:ser>
          <c:idx val="6"/>
          <c:order val="2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Sheet2!$K$39:$K$45</c:f>
              <c:numCache>
                <c:formatCode>General</c:formatCode>
                <c:ptCount val="7"/>
                <c:pt idx="0">
                  <c:v>1.5553092017038344</c:v>
                </c:pt>
                <c:pt idx="1">
                  <c:v>4.2432103773684915</c:v>
                </c:pt>
                <c:pt idx="2">
                  <c:v>14.007709443393628</c:v>
                </c:pt>
                <c:pt idx="3">
                  <c:v>30.902954325135934</c:v>
                </c:pt>
                <c:pt idx="4">
                  <c:v>60.967361376374456</c:v>
                </c:pt>
                <c:pt idx="5">
                  <c:v>120.98562103405158</c:v>
                </c:pt>
                <c:pt idx="6">
                  <c:v>158.48931924611153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FC-4DDE-A8BE-E741FE70F084}"/>
            </c:ext>
          </c:extLst>
        </c:ser>
        <c:ser>
          <c:idx val="7"/>
          <c:order val="3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Sheet2!$L$39:$L$45</c:f>
              <c:numCache>
                <c:formatCode>General</c:formatCode>
                <c:ptCount val="7"/>
                <c:pt idx="0">
                  <c:v>5.3359013758769205</c:v>
                </c:pt>
                <c:pt idx="1">
                  <c:v>10.080182290024698</c:v>
                </c:pt>
                <c:pt idx="2">
                  <c:v>21.488421574575014</c:v>
                </c:pt>
                <c:pt idx="3">
                  <c:v>35.481338923357555</c:v>
                </c:pt>
                <c:pt idx="4">
                  <c:v>54.580003985640502</c:v>
                </c:pt>
                <c:pt idx="5">
                  <c:v>84.270646470685151</c:v>
                </c:pt>
                <c:pt idx="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FFC-4DDE-A8BE-E741FE70F084}"/>
            </c:ext>
          </c:extLst>
        </c:ser>
        <c:ser>
          <c:idx val="8"/>
          <c:order val="4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Sheet2!$M$39:$M$45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FC-4DDE-A8BE-E741FE70F084}"/>
            </c:ext>
          </c:extLst>
        </c:ser>
        <c:ser>
          <c:idx val="9"/>
          <c:order val="5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Sheet2!$N$39:$N$45</c:f>
              <c:numCache>
                <c:formatCode>General</c:formatCode>
                <c:ptCount val="7"/>
                <c:pt idx="0">
                  <c:v>1.5958791472367337</c:v>
                </c:pt>
                <c:pt idx="1">
                  <c:v>3.5414775657670909</c:v>
                </c:pt>
                <c:pt idx="2">
                  <c:v>10.158170663939259</c:v>
                </c:pt>
                <c:pt idx="3">
                  <c:v>22.542392121524312</c:v>
                </c:pt>
                <c:pt idx="4">
                  <c:v>50.024700250852135</c:v>
                </c:pt>
                <c:pt idx="5">
                  <c:v>143.48797447499655</c:v>
                </c:pt>
                <c:pt idx="6">
                  <c:v>318.41975217261262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FC-4DDE-A8BE-E741FE70F084}"/>
            </c:ext>
          </c:extLst>
        </c:ser>
        <c:ser>
          <c:idx val="3"/>
          <c:order val="6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Sheet2!$B$39:$B$45</c:f>
              <c:numCache>
                <c:formatCode>0.0</c:formatCode>
                <c:ptCount val="7"/>
                <c:pt idx="0">
                  <c:v>1.5958791472367337</c:v>
                </c:pt>
                <c:pt idx="1">
                  <c:v>4.2432103773684915</c:v>
                </c:pt>
                <c:pt idx="2">
                  <c:v>14.007709443393628</c:v>
                </c:pt>
                <c:pt idx="3">
                  <c:v>30.471699999999998</c:v>
                </c:pt>
                <c:pt idx="4">
                  <c:v>56.843308163453628</c:v>
                </c:pt>
                <c:pt idx="5">
                  <c:v>143.48797447499655</c:v>
                </c:pt>
                <c:pt idx="6">
                  <c:v>318.41975217261262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FFC-4DDE-A8BE-E741FE70F084}"/>
            </c:ext>
          </c:extLst>
        </c:ser>
        <c:ser>
          <c:idx val="0"/>
          <c:order val="7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Sheet2!$A$39:$A$45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Sheet2!$G$39:$G$45</c:f>
              <c:numCache>
                <c:formatCode>General</c:formatCode>
                <c:ptCount val="7"/>
                <c:pt idx="0">
                  <c:v>2.5258433351900207</c:v>
                </c:pt>
                <c:pt idx="1">
                  <c:v>4.6991115073981176</c:v>
                </c:pt>
                <c:pt idx="2">
                  <c:v>10.685931704322954</c:v>
                </c:pt>
                <c:pt idx="3">
                  <c:v>19.923218665348738</c:v>
                </c:pt>
                <c:pt idx="4">
                  <c:v>37.246751677106708</c:v>
                </c:pt>
                <c:pt idx="5">
                  <c:v>85.966568476216736</c:v>
                </c:pt>
                <c:pt idx="6">
                  <c:v>164.40489298085194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FFC-4DDE-A8BE-E741FE70F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 val="autoZero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 val="autoZero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14603943737801"/>
          <c:y val="4.6714238845144349E-2"/>
          <c:w val="0.75671310316979623"/>
          <c:h val="0.73668143044619427"/>
        </c:manualLayout>
      </c:layout>
      <c:scatterChart>
        <c:scatterStyle val="smoothMarker"/>
        <c:varyColors val="0"/>
        <c:ser>
          <c:idx val="5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Sheet2!$I$49:$I$55</c:f>
              <c:numCache>
                <c:formatCode>General</c:formatCode>
                <c:ptCount val="7"/>
                <c:pt idx="0">
                  <c:v>1.4791083881682072</c:v>
                </c:pt>
                <c:pt idx="1">
                  <c:v>3.6928323721739948</c:v>
                </c:pt>
                <c:pt idx="2">
                  <c:v>12.377712919197153</c:v>
                </c:pt>
                <c:pt idx="3">
                  <c:v>30.902954325135919</c:v>
                </c:pt>
                <c:pt idx="4">
                  <c:v>77.154203870756746</c:v>
                </c:pt>
                <c:pt idx="5">
                  <c:v>258.60707710900692</c:v>
                </c:pt>
                <c:pt idx="6">
                  <c:v>645.65422903465594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25-48F0-8588-80FA94CB7FB7}"/>
            </c:ext>
          </c:extLst>
        </c:ser>
        <c:ser>
          <c:idx val="6"/>
          <c:order val="1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Sheet2!$J$49:$J$55</c:f>
              <c:numCache>
                <c:formatCode>General</c:formatCode>
                <c:ptCount val="7"/>
                <c:pt idx="2">
                  <c:v>4.7811408986403841</c:v>
                </c:pt>
                <c:pt idx="3">
                  <c:v>7</c:v>
                </c:pt>
                <c:pt idx="4">
                  <c:v>10.24859987161938</c:v>
                </c:pt>
                <c:pt idx="5">
                  <c:v>16.964128066498585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25-48F0-8588-80FA94CB7FB7}"/>
            </c:ext>
          </c:extLst>
        </c:ser>
        <c:ser>
          <c:idx val="7"/>
          <c:order val="2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Sheet2!$K$49:$K$55</c:f>
              <c:numCache>
                <c:formatCode>General</c:formatCode>
                <c:ptCount val="7"/>
                <c:pt idx="0">
                  <c:v>2.3227367963571077</c:v>
                </c:pt>
                <c:pt idx="1">
                  <c:v>4.8326874166214457</c:v>
                </c:pt>
                <c:pt idx="2">
                  <c:v>12.729498510374203</c:v>
                </c:pt>
                <c:pt idx="3">
                  <c:v>26.485001386067019</c:v>
                </c:pt>
                <c:pt idx="4">
                  <c:v>55.104708001521395</c:v>
                </c:pt>
                <c:pt idx="5">
                  <c:v>145.14807972214402</c:v>
                </c:pt>
                <c:pt idx="6">
                  <c:v>301.99517204020168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25-48F0-8588-80FA94CB7FB7}"/>
            </c:ext>
          </c:extLst>
        </c:ser>
        <c:ser>
          <c:idx val="8"/>
          <c:order val="3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Sheet2!$L$49:$L$55</c:f>
              <c:numCache>
                <c:formatCode>General</c:formatCode>
                <c:ptCount val="7"/>
                <c:pt idx="0">
                  <c:v>3.9719154946944033</c:v>
                </c:pt>
                <c:pt idx="1">
                  <c:v>7.1991916697116176</c:v>
                </c:pt>
                <c:pt idx="2">
                  <c:v>15.802153047399026</c:v>
                </c:pt>
                <c:pt idx="3">
                  <c:v>28.641779699065808</c:v>
                </c:pt>
                <c:pt idx="4">
                  <c:v>51.913909571002748</c:v>
                </c:pt>
                <c:pt idx="5">
                  <c:v>113.95050749672284</c:v>
                </c:pt>
                <c:pt idx="6">
                  <c:v>206.53801558105295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25-48F0-8588-80FA94CB7FB7}"/>
            </c:ext>
          </c:extLst>
        </c:ser>
        <c:ser>
          <c:idx val="9"/>
          <c:order val="4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Sheet2!$M$49:$M$55</c:f>
              <c:numCache>
                <c:formatCode>General</c:formatCode>
                <c:ptCount val="7"/>
                <c:pt idx="0">
                  <c:v>2.2284351492703034</c:v>
                </c:pt>
                <c:pt idx="1">
                  <c:v>4.3170056381903423</c:v>
                </c:pt>
                <c:pt idx="2">
                  <c:v>10.347069927344581</c:v>
                </c:pt>
                <c:pt idx="3">
                  <c:v>20.044720273651613</c:v>
                </c:pt>
                <c:pt idx="4">
                  <c:v>38.83136131003738</c:v>
                </c:pt>
                <c:pt idx="5">
                  <c:v>93.071643755686082</c:v>
                </c:pt>
                <c:pt idx="6">
                  <c:v>180.30177408595682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25-48F0-8588-80FA94CB7FB7}"/>
            </c:ext>
          </c:extLst>
        </c:ser>
        <c:ser>
          <c:idx val="3"/>
          <c:order val="5"/>
          <c:spPr>
            <a:ln w="381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Sheet2!$N$49:$N$55</c:f>
              <c:numCache>
                <c:formatCode>General</c:formatCode>
                <c:ptCount val="7"/>
                <c:pt idx="0">
                  <c:v>1.778279410038923</c:v>
                </c:pt>
                <c:pt idx="1">
                  <c:v>3.9189903587598618</c:v>
                </c:pt>
                <c:pt idx="2">
                  <c:v>11.13847680855991</c:v>
                </c:pt>
                <c:pt idx="3">
                  <c:v>24.547089156850305</c:v>
                </c:pt>
                <c:pt idx="4">
                  <c:v>54.097126243625247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925-48F0-8588-80FA94CB7FB7}"/>
            </c:ext>
          </c:extLst>
        </c:ser>
        <c:ser>
          <c:idx val="0"/>
          <c:order val="6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Sheet2!$O$49:$O$55</c:f>
              <c:numCache>
                <c:formatCode>General</c:formatCode>
                <c:ptCount val="7"/>
                <c:pt idx="0">
                  <c:v>0.93325430079699145</c:v>
                </c:pt>
                <c:pt idx="1">
                  <c:v>2.5674606354100584</c:v>
                </c:pt>
                <c:pt idx="2">
                  <c:v>9.7835440858021219</c:v>
                </c:pt>
                <c:pt idx="3">
                  <c:v>26.915348039269173</c:v>
                </c:pt>
                <c:pt idx="4">
                  <c:v>74.04637355560061</c:v>
                </c:pt>
                <c:pt idx="5">
                  <c:v>282.16049355681315</c:v>
                </c:pt>
                <c:pt idx="6">
                  <c:v>776.24711662869231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925-48F0-8588-80FA94CB7FB7}"/>
            </c:ext>
          </c:extLst>
        </c:ser>
        <c:ser>
          <c:idx val="1"/>
          <c:order val="7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Sheet2!$P$49:$P$55</c:f>
              <c:numCache>
                <c:formatCode>General</c:formatCode>
                <c:ptCount val="7"/>
                <c:pt idx="0">
                  <c:v>1.1138960380529221</c:v>
                </c:pt>
                <c:pt idx="1">
                  <c:v>2.7427337685917861</c:v>
                </c:pt>
                <c:pt idx="2">
                  <c:v>9.0262148105020099</c:v>
                </c:pt>
                <c:pt idx="3">
                  <c:v>22.22514787520138</c:v>
                </c:pt>
                <c:pt idx="4">
                  <c:v>54.724733284637658</c:v>
                </c:pt>
                <c:pt idx="5">
                  <c:v>180.09666258208631</c:v>
                </c:pt>
                <c:pt idx="6">
                  <c:v>443.45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925-48F0-8588-80FA94CB7FB7}"/>
            </c:ext>
          </c:extLst>
        </c:ser>
        <c:ser>
          <c:idx val="2"/>
          <c:order val="8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Sheet2!$Q$49:$Q$55</c:f>
              <c:numCache>
                <c:formatCode>General</c:formatCode>
                <c:ptCount val="7"/>
                <c:pt idx="0">
                  <c:v>2.3768402866248786</c:v>
                </c:pt>
                <c:pt idx="1">
                  <c:v>4.9452551673121103</c:v>
                </c:pt>
                <c:pt idx="2">
                  <c:v>13.026006620914226</c:v>
                </c:pt>
                <c:pt idx="3">
                  <c:v>27.101916318908451</c:v>
                </c:pt>
                <c:pt idx="4">
                  <c:v>56.388261539634037</c:v>
                </c:pt>
                <c:pt idx="5">
                  <c:v>148.52901282267831</c:v>
                </c:pt>
                <c:pt idx="6">
                  <c:v>309.02954325135937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925-48F0-8588-80FA94CB7FB7}"/>
            </c:ext>
          </c:extLst>
        </c:ser>
        <c:ser>
          <c:idx val="10"/>
          <c:order val="9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Sheet2!$R$49:$R$55</c:f>
              <c:numCache>
                <c:formatCode>General</c:formatCode>
                <c:ptCount val="7"/>
                <c:pt idx="0">
                  <c:v>1.6211100197087165</c:v>
                </c:pt>
                <c:pt idx="1">
                  <c:v>3.8556711392796195</c:v>
                </c:pt>
                <c:pt idx="2">
                  <c:v>12.120624460984706</c:v>
                </c:pt>
                <c:pt idx="3">
                  <c:v>28.827865694558042</c:v>
                </c:pt>
                <c:pt idx="4">
                  <c:v>68.564605988622603</c:v>
                </c:pt>
                <c:pt idx="5">
                  <c:v>215.53856915783211</c:v>
                </c:pt>
                <c:pt idx="6">
                  <c:v>512.64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925-48F0-8588-80FA94CB7FB7}"/>
            </c:ext>
          </c:extLst>
        </c:ser>
        <c:ser>
          <c:idx val="11"/>
          <c:order val="10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Sheet2!$S$49:$S$55</c:f>
              <c:numCache>
                <c:formatCode>General</c:formatCode>
                <c:ptCount val="7"/>
                <c:pt idx="0">
                  <c:v>1.3202066096554264</c:v>
                </c:pt>
                <c:pt idx="1">
                  <c:v>2.6958939137939493</c:v>
                </c:pt>
                <c:pt idx="2">
                  <c:v>6.9275713457773715</c:v>
                </c:pt>
                <c:pt idx="3">
                  <c:v>14.146268691480786</c:v>
                </c:pt>
                <c:pt idx="4">
                  <c:v>28.887023735027839</c:v>
                </c:pt>
                <c:pt idx="5">
                  <c:v>74.230264354113189</c:v>
                </c:pt>
                <c:pt idx="6">
                  <c:v>151.58000000000001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925-48F0-8588-80FA94CB7FB7}"/>
            </c:ext>
          </c:extLst>
        </c:ser>
        <c:ser>
          <c:idx val="12"/>
          <c:order val="11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Sheet2!$T$49:$T$55</c:f>
              <c:numCache>
                <c:formatCode>General</c:formatCode>
                <c:ptCount val="7"/>
                <c:pt idx="0">
                  <c:v>2.4528724198867473</c:v>
                </c:pt>
                <c:pt idx="1">
                  <c:v>4.4182412532049282</c:v>
                </c:pt>
                <c:pt idx="2">
                  <c:v>9.6183481672714723</c:v>
                </c:pt>
                <c:pt idx="3">
                  <c:v>17.325068485334807</c:v>
                </c:pt>
                <c:pt idx="4">
                  <c:v>31.206813561074288</c:v>
                </c:pt>
                <c:pt idx="5">
                  <c:v>67.936081535568292</c:v>
                </c:pt>
                <c:pt idx="6">
                  <c:v>122.37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925-48F0-8588-80FA94CB7FB7}"/>
            </c:ext>
          </c:extLst>
        </c:ser>
        <c:ser>
          <c:idx val="13"/>
          <c:order val="12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Sheet2!$U$49:$U$55</c:f>
              <c:numCache>
                <c:formatCode>General</c:formatCode>
                <c:ptCount val="7"/>
                <c:pt idx="0">
                  <c:v>3.4593937782612207</c:v>
                </c:pt>
                <c:pt idx="1">
                  <c:v>7.2376394645020801</c:v>
                </c:pt>
                <c:pt idx="2">
                  <c:v>19.20450221416186</c:v>
                </c:pt>
                <c:pt idx="3">
                  <c:v>40.179081084894008</c:v>
                </c:pt>
                <c:pt idx="4">
                  <c:v>84.061463235220998</c:v>
                </c:pt>
                <c:pt idx="5">
                  <c:v>223.05042476132095</c:v>
                </c:pt>
                <c:pt idx="6">
                  <c:v>466.65938031428885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925-48F0-8588-80FA94CB7FB7}"/>
            </c:ext>
          </c:extLst>
        </c:ser>
        <c:ser>
          <c:idx val="14"/>
          <c:order val="13"/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Sheet2!$V$49:$V$55</c:f>
              <c:numCache>
                <c:formatCode>General</c:formatCode>
                <c:ptCount val="7"/>
                <c:pt idx="0">
                  <c:v>3.0199517204020165</c:v>
                </c:pt>
                <c:pt idx="1">
                  <c:v>6.38428690017862</c:v>
                </c:pt>
                <c:pt idx="2">
                  <c:v>17.174638503675457</c:v>
                </c:pt>
                <c:pt idx="3">
                  <c:v>36.307805477010156</c:v>
                </c:pt>
                <c:pt idx="4">
                  <c:v>76.756010804786058</c:v>
                </c:pt>
                <c:pt idx="5">
                  <c:v>206.48457050379841</c:v>
                </c:pt>
                <c:pt idx="6">
                  <c:v>436.51583224016622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925-48F0-8588-80FA94CB7FB7}"/>
            </c:ext>
          </c:extLst>
        </c:ser>
        <c:ser>
          <c:idx val="4"/>
          <c:order val="14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Sheet2!$B$49:$B$55</c:f>
              <c:numCache>
                <c:formatCode>0.0</c:formatCode>
                <c:ptCount val="7"/>
                <c:pt idx="0">
                  <c:v>2.0033572796546131</c:v>
                </c:pt>
                <c:pt idx="1">
                  <c:v>4.1179979984751025</c:v>
                </c:pt>
                <c:pt idx="2">
                  <c:v>11.848443300075946</c:v>
                </c:pt>
                <c:pt idx="3">
                  <c:v>26.915348039269173</c:v>
                </c:pt>
                <c:pt idx="4">
                  <c:v>55.104708001521395</c:v>
                </c:pt>
                <c:pt idx="5">
                  <c:v>148.52901282267831</c:v>
                </c:pt>
                <c:pt idx="6">
                  <c:v>372.77268774576282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925-48F0-8588-80FA94CB7FB7}"/>
            </c:ext>
          </c:extLst>
        </c:ser>
        <c:ser>
          <c:idx val="15"/>
          <c:order val="15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Sheet2!$A$49:$A$55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Sheet2!$G$49:$G$55</c:f>
              <c:numCache>
                <c:formatCode>General</c:formatCode>
                <c:ptCount val="7"/>
                <c:pt idx="0">
                  <c:v>2.3332954241284618</c:v>
                </c:pt>
                <c:pt idx="1">
                  <c:v>4.3385607557833836</c:v>
                </c:pt>
                <c:pt idx="2">
                  <c:v>9.8501155577308683</c:v>
                </c:pt>
                <c:pt idx="3">
                  <c:v>18.315436766720207</c:v>
                </c:pt>
                <c:pt idx="4">
                  <c:v>34.055968378202905</c:v>
                </c:pt>
                <c:pt idx="5">
                  <c:v>77.319471326651097</c:v>
                </c:pt>
                <c:pt idx="6">
                  <c:v>143.76886033667455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925-48F0-8588-80FA94CB7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 val="autoZero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 val="autoZero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14603943737801"/>
          <c:y val="4.5086942257217849E-2"/>
          <c:w val="0.75671310316979623"/>
          <c:h val="0.73668143044619427"/>
        </c:manualLayout>
      </c:layout>
      <c:scatterChart>
        <c:scatterStyle val="smoothMarker"/>
        <c:varyColors val="0"/>
        <c:ser>
          <c:idx val="6"/>
          <c:order val="0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Sheet2!$I$59:$I$65</c:f>
              <c:numCache>
                <c:formatCode>General</c:formatCode>
                <c:ptCount val="7"/>
                <c:pt idx="0">
                  <c:v>1.1824529162819077</c:v>
                </c:pt>
                <c:pt idx="1">
                  <c:v>2.8516219646569865</c:v>
                </c:pt>
                <c:pt idx="2">
                  <c:v>9.1301047918006795</c:v>
                </c:pt>
                <c:pt idx="3">
                  <c:v>22.018303651180354</c:v>
                </c:pt>
                <c:pt idx="4">
                  <c:v>53.099685790130664</c:v>
                </c:pt>
                <c:pt idx="5">
                  <c:v>169.97000000000003</c:v>
                </c:pt>
                <c:pt idx="6">
                  <c:v>299.99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72-4622-926D-1029026FB2CF}"/>
            </c:ext>
          </c:extLst>
        </c:ser>
        <c:ser>
          <c:idx val="7"/>
          <c:order val="1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Sheet2!$J$59:$J$65</c:f>
              <c:numCache>
                <c:formatCode>General</c:formatCode>
                <c:ptCount val="7"/>
                <c:pt idx="2">
                  <c:v>6.8302012837719772</c:v>
                </c:pt>
                <c:pt idx="3">
                  <c:v>10</c:v>
                </c:pt>
                <c:pt idx="4">
                  <c:v>14.640856959456258</c:v>
                </c:pt>
                <c:pt idx="5">
                  <c:v>24.234468666426551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72-4622-926D-1029026FB2CF}"/>
            </c:ext>
          </c:extLst>
        </c:ser>
        <c:ser>
          <c:idx val="8"/>
          <c:order val="2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Sheet2!$K$59:$K$65</c:f>
              <c:numCache>
                <c:formatCode>General</c:formatCode>
                <c:ptCount val="7"/>
                <c:pt idx="0">
                  <c:v>1.5755652403879596</c:v>
                </c:pt>
                <c:pt idx="1">
                  <c:v>2.9650160792075582</c:v>
                </c:pt>
                <c:pt idx="2">
                  <c:v>11.689582528825536</c:v>
                </c:pt>
                <c:pt idx="3">
                  <c:v>42.43271879259536</c:v>
                </c:pt>
                <c:pt idx="4">
                  <c:v>214.78361242459528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72-4622-926D-1029026FB2CF}"/>
            </c:ext>
          </c:extLst>
        </c:ser>
        <c:ser>
          <c:idx val="9"/>
          <c:order val="3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Sheet2!$L$59:$L$65</c:f>
              <c:numCache>
                <c:formatCode>General</c:formatCode>
                <c:ptCount val="7"/>
                <c:pt idx="0">
                  <c:v>1.4791083881682072</c:v>
                </c:pt>
                <c:pt idx="1">
                  <c:v>3.7185180525897223</c:v>
                </c:pt>
                <c:pt idx="2">
                  <c:v>12.578536252135418</c:v>
                </c:pt>
                <c:pt idx="3">
                  <c:v>31.622776601683803</c:v>
                </c:pt>
                <c:pt idx="4">
                  <c:v>79.500506255664988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72-4622-926D-1029026FB2CF}"/>
            </c:ext>
          </c:extLst>
        </c:ser>
        <c:ser>
          <c:idx val="3"/>
          <c:order val="4"/>
          <c:spPr>
            <a:ln w="381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Sheet2!$M$59:$M$65</c:f>
              <c:numCache>
                <c:formatCode>General</c:formatCode>
                <c:ptCount val="7"/>
                <c:pt idx="0">
                  <c:v>1.6802846170244981</c:v>
                </c:pt>
                <c:pt idx="1">
                  <c:v>3.6520477445735366</c:v>
                </c:pt>
                <c:pt idx="2">
                  <c:v>10.191292262109164</c:v>
                </c:pt>
                <c:pt idx="3">
                  <c:v>22.150465190852177</c:v>
                </c:pt>
                <c:pt idx="4">
                  <c:v>48.14336548813796</c:v>
                </c:pt>
                <c:pt idx="5">
                  <c:v>134.34739699123179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72-4622-926D-1029026FB2CF}"/>
            </c:ext>
          </c:extLst>
        </c:ser>
        <c:ser>
          <c:idx val="0"/>
          <c:order val="5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Sheet2!$N$59:$N$65</c:f>
              <c:numCache>
                <c:formatCode>General</c:formatCode>
                <c:ptCount val="7"/>
                <c:pt idx="0">
                  <c:v>2.0323570109362232</c:v>
                </c:pt>
                <c:pt idx="1">
                  <c:v>4.252036122844288</c:v>
                </c:pt>
                <c:pt idx="2">
                  <c:v>11.282440571454616</c:v>
                </c:pt>
                <c:pt idx="3">
                  <c:v>23.604782331805794</c:v>
                </c:pt>
                <c:pt idx="4">
                  <c:v>49.385214608765622</c:v>
                </c:pt>
                <c:pt idx="5">
                  <c:v>131.0397496245202</c:v>
                </c:pt>
                <c:pt idx="6">
                  <c:v>274.15741719278856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72-4622-926D-1029026FB2CF}"/>
            </c:ext>
          </c:extLst>
        </c:ser>
        <c:ser>
          <c:idx val="1"/>
          <c:order val="6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Sheet2!$O$59:$O$65</c:f>
              <c:numCache>
                <c:formatCode>General</c:formatCode>
                <c:ptCount val="7"/>
                <c:pt idx="0">
                  <c:v>2.2887586570623646</c:v>
                </c:pt>
                <c:pt idx="1">
                  <c:v>4.7957795491042905</c:v>
                </c:pt>
                <c:pt idx="2">
                  <c:v>12.750898498477497</c:v>
                </c:pt>
                <c:pt idx="3">
                  <c:v>26.717757271179487</c:v>
                </c:pt>
                <c:pt idx="4">
                  <c:v>55.983392361479353</c:v>
                </c:pt>
                <c:pt idx="5">
                  <c:v>148.847240848464</c:v>
                </c:pt>
                <c:pt idx="6">
                  <c:v>311.88895840939409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72-4622-926D-1029026FB2CF}"/>
            </c:ext>
          </c:extLst>
        </c:ser>
        <c:ser>
          <c:idx val="2"/>
          <c:order val="7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Sheet2!$P$59:$P$65</c:f>
              <c:numCache>
                <c:formatCode>General</c:formatCode>
                <c:ptCount val="7"/>
                <c:pt idx="0">
                  <c:v>1.2723306813254591</c:v>
                </c:pt>
                <c:pt idx="1">
                  <c:v>2.1926471691317921</c:v>
                </c:pt>
                <c:pt idx="2">
                  <c:v>4.5022670084183556</c:v>
                </c:pt>
                <c:pt idx="3">
                  <c:v>7.7588972391987472</c:v>
                </c:pt>
                <c:pt idx="4">
                  <c:v>13.371149746534984</c:v>
                </c:pt>
                <c:pt idx="5">
                  <c:v>27.455619497724822</c:v>
                </c:pt>
                <c:pt idx="6">
                  <c:v>47.315125896148068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72-4622-926D-1029026FB2CF}"/>
            </c:ext>
          </c:extLst>
        </c:ser>
        <c:ser>
          <c:idx val="10"/>
          <c:order val="8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Sheet2!$Q$59:$Q$65</c:f>
              <c:numCache>
                <c:formatCode>General</c:formatCode>
                <c:ptCount val="7"/>
                <c:pt idx="0">
                  <c:v>1.2163260272945657</c:v>
                </c:pt>
                <c:pt idx="1">
                  <c:v>3.0266670603951411</c:v>
                </c:pt>
                <c:pt idx="2">
                  <c:v>10.100325030756956</c:v>
                </c:pt>
                <c:pt idx="3">
                  <c:v>25.133328058327589</c:v>
                </c:pt>
                <c:pt idx="4">
                  <c:v>62.540975400687252</c:v>
                </c:pt>
                <c:pt idx="5">
                  <c:v>208.70619948698558</c:v>
                </c:pt>
                <c:pt idx="6">
                  <c:v>519.33787908210024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72-4622-926D-1029026FB2CF}"/>
            </c:ext>
          </c:extLst>
        </c:ser>
        <c:ser>
          <c:idx val="11"/>
          <c:order val="9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Sheet2!$R$59:$R$65</c:f>
              <c:numCache>
                <c:formatCode>General</c:formatCode>
                <c:ptCount val="7"/>
                <c:pt idx="0">
                  <c:v>1.5236091902269073</c:v>
                </c:pt>
                <c:pt idx="1">
                  <c:v>3.3811004896755747</c:v>
                </c:pt>
                <c:pt idx="2">
                  <c:v>9.69815427832979</c:v>
                </c:pt>
                <c:pt idx="3">
                  <c:v>21.521551845277791</c:v>
                </c:pt>
                <c:pt idx="4">
                  <c:v>47.759313838091273</c:v>
                </c:pt>
                <c:pt idx="5">
                  <c:v>136.99007031684621</c:v>
                </c:pt>
                <c:pt idx="6">
                  <c:v>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72-4622-926D-1029026FB2CF}"/>
            </c:ext>
          </c:extLst>
        </c:ser>
        <c:ser>
          <c:idx val="12"/>
          <c:order val="10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Sheet2!$S$59:$S$65</c:f>
              <c:numCache>
                <c:formatCode>General</c:formatCode>
                <c:ptCount val="7"/>
                <c:pt idx="0">
                  <c:v>50.400444778065506</c:v>
                </c:pt>
                <c:pt idx="1">
                  <c:v>67.086209140092194</c:v>
                </c:pt>
                <c:pt idx="2">
                  <c:v>97.907338328668814</c:v>
                </c:pt>
                <c:pt idx="3">
                  <c:v>130.32091689645884</c:v>
                </c:pt>
                <c:pt idx="4">
                  <c:v>173.46545898041941</c:v>
                </c:pt>
                <c:pt idx="5">
                  <c:v>253.15995043434359</c:v>
                </c:pt>
                <c:pt idx="6">
                  <c:v>336.97205363007134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72-4622-926D-1029026FB2CF}"/>
            </c:ext>
          </c:extLst>
        </c:ser>
        <c:ser>
          <c:idx val="13"/>
          <c:order val="11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Sheet2!$T$59:$T$65</c:f>
              <c:numCache>
                <c:formatCode>General</c:formatCode>
                <c:ptCount val="7"/>
                <c:pt idx="0">
                  <c:v>2.2908676527677727</c:v>
                </c:pt>
                <c:pt idx="1">
                  <c:v>4.4256645811343622</c:v>
                </c:pt>
                <c:pt idx="2">
                  <c:v>10.568698388961748</c:v>
                </c:pt>
                <c:pt idx="3">
                  <c:v>20.417379446695293</c:v>
                </c:pt>
                <c:pt idx="4">
                  <c:v>39.443777098012873</c:v>
                </c:pt>
                <c:pt idx="5">
                  <c:v>94.193623540147698</c:v>
                </c:pt>
                <c:pt idx="6">
                  <c:v>181.9700858609983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72-4622-926D-1029026FB2CF}"/>
            </c:ext>
          </c:extLst>
        </c:ser>
        <c:ser>
          <c:idx val="14"/>
          <c:order val="12"/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Sheet2!$U$59:$U$65</c:f>
              <c:numCache>
                <c:formatCode>General</c:formatCode>
                <c:ptCount val="7"/>
                <c:pt idx="0">
                  <c:v>2.8840315031266059</c:v>
                </c:pt>
                <c:pt idx="1">
                  <c:v>6.0548319698530211</c:v>
                </c:pt>
                <c:pt idx="2">
                  <c:v>16.139790927666869</c:v>
                </c:pt>
                <c:pt idx="3">
                  <c:v>33.884415613920268</c:v>
                </c:pt>
                <c:pt idx="4">
                  <c:v>71.138072769500141</c:v>
                </c:pt>
                <c:pt idx="5">
                  <c:v>189.62600898150995</c:v>
                </c:pt>
                <c:pt idx="6">
                  <c:v>398.10717055349761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72-4622-926D-1029026FB2CF}"/>
            </c:ext>
          </c:extLst>
        </c:ser>
        <c:ser>
          <c:idx val="4"/>
          <c:order val="13"/>
          <c:spPr>
            <a:effectLst/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Sheet2!$V$59:$V$65</c:f>
              <c:numCache>
                <c:formatCode>General</c:formatCode>
                <c:ptCount val="7"/>
                <c:pt idx="0">
                  <c:v>0.37587226607297863</c:v>
                </c:pt>
                <c:pt idx="1">
                  <c:v>1.0347730420187677</c:v>
                </c:pt>
                <c:pt idx="2">
                  <c:v>3.9467122038772899</c:v>
                </c:pt>
                <c:pt idx="3">
                  <c:v>10.865263978762831</c:v>
                </c:pt>
                <c:pt idx="4">
                  <c:v>29.911976153777776</c:v>
                </c:pt>
                <c:pt idx="5">
                  <c:v>114.08681569234395</c:v>
                </c:pt>
                <c:pt idx="6">
                  <c:v>314.08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72-4622-926D-1029026FB2CF}"/>
            </c:ext>
          </c:extLst>
        </c:ser>
        <c:ser>
          <c:idx val="5"/>
          <c:order val="14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Sheet2!$B$59:$B$65</c:f>
              <c:numCache>
                <c:formatCode>0.0</c:formatCode>
                <c:ptCount val="7"/>
                <c:pt idx="0">
                  <c:v>1.6802846170244981</c:v>
                </c:pt>
                <c:pt idx="1">
                  <c:v>3.7185180525897223</c:v>
                </c:pt>
                <c:pt idx="2">
                  <c:v>10.925569480208182</c:v>
                </c:pt>
                <c:pt idx="3">
                  <c:v>25.133328058327589</c:v>
                </c:pt>
                <c:pt idx="4">
                  <c:v>54.541539075805005</c:v>
                </c:pt>
                <c:pt idx="5">
                  <c:v>135.66873365403899</c:v>
                </c:pt>
                <c:pt idx="6">
                  <c:v>307.94447920469702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72-4622-926D-1029026FB2CF}"/>
            </c:ext>
          </c:extLst>
        </c:ser>
        <c:ser>
          <c:idx val="15"/>
          <c:order val="15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Sheet2!$A$59:$A$65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</c:numCache>
            </c:numRef>
          </c:xVal>
          <c:yVal>
            <c:numRef>
              <c:f>Sheet2!$G$59:$G$65</c:f>
              <c:numCache>
                <c:formatCode>General</c:formatCode>
                <c:ptCount val="7"/>
                <c:pt idx="0">
                  <c:v>1.8164288982512444</c:v>
                </c:pt>
                <c:pt idx="1">
                  <c:v>3.9870523210187083</c:v>
                </c:pt>
                <c:pt idx="2">
                  <c:v>11.27203980086202</c:v>
                </c:pt>
                <c:pt idx="3">
                  <c:v>24.742070825844035</c:v>
                </c:pt>
                <c:pt idx="4">
                  <c:v>54.308721364190767</c:v>
                </c:pt>
                <c:pt idx="5">
                  <c:v>153.53951226671427</c:v>
                </c:pt>
                <c:pt idx="6">
                  <c:v>337.01845931896696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72-4622-926D-1029026FB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0.1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53920183054043"/>
          <c:y val="5.203138670166229E-2"/>
          <c:w val="0.75931994077663367"/>
          <c:h val="0.73668143044619427"/>
        </c:manualLayout>
      </c:layout>
      <c:scatterChart>
        <c:scatterStyle val="smoothMarker"/>
        <c:varyColors val="0"/>
        <c:ser>
          <c:idx val="7"/>
          <c:order val="0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Sheet2!$I$69:$I$79</c:f>
              <c:numCache>
                <c:formatCode>General</c:formatCode>
                <c:ptCount val="11"/>
                <c:pt idx="0">
                  <c:v>1.5848931924611125</c:v>
                </c:pt>
                <c:pt idx="1">
                  <c:v>3.8487384131976365</c:v>
                </c:pt>
                <c:pt idx="2">
                  <c:v>12.436025547524265</c:v>
                </c:pt>
                <c:pt idx="3">
                  <c:v>30.19951720402015</c:v>
                </c:pt>
                <c:pt idx="4">
                  <c:v>73.336198600642959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6-42D2-90B5-55D4D5ECC9DF}"/>
            </c:ext>
          </c:extLst>
        </c:ser>
        <c:ser>
          <c:idx val="8"/>
          <c:order val="1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Sheet2!$J$69:$J$79</c:f>
              <c:numCache>
                <c:formatCode>General</c:formatCode>
                <c:ptCount val="11"/>
                <c:pt idx="0">
                  <c:v>2.2126633715828623</c:v>
                </c:pt>
                <c:pt idx="1">
                  <c:v>4.0496128213652298</c:v>
                </c:pt>
                <c:pt idx="2">
                  <c:v>9.0036206877964435</c:v>
                </c:pt>
                <c:pt idx="3">
                  <c:v>16.478411603083863</c:v>
                </c:pt>
                <c:pt idx="4">
                  <c:v>30.158761500103303</c:v>
                </c:pt>
                <c:pt idx="5">
                  <c:v>67.052842071234451</c:v>
                </c:pt>
                <c:pt idx="6">
                  <c:v>122.72</c:v>
                </c:pt>
                <c:pt idx="7">
                  <c:v>167.49037530248933</c:v>
                </c:pt>
                <c:pt idx="8">
                  <c:v>224.60193982531874</c:v>
                </c:pt>
                <c:pt idx="9">
                  <c:v>499.36395431716966</c:v>
                </c:pt>
                <c:pt idx="10">
                  <c:v>913.93507837742948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56-42D2-90B5-55D4D5ECC9DF}"/>
            </c:ext>
          </c:extLst>
        </c:ser>
        <c:ser>
          <c:idx val="9"/>
          <c:order val="2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Sheet2!$K$69:$K$79</c:f>
              <c:numCache>
                <c:formatCode>General</c:formatCode>
                <c:ptCount val="11"/>
                <c:pt idx="0">
                  <c:v>5.3111996942440481E-2</c:v>
                </c:pt>
                <c:pt idx="1">
                  <c:v>0.13445372069764694</c:v>
                </c:pt>
                <c:pt idx="2">
                  <c:v>0.45899973674056049</c:v>
                </c:pt>
                <c:pt idx="3">
                  <c:v>1.1619638868199731</c:v>
                </c:pt>
                <c:pt idx="4">
                  <c:v>2.9415269033954363</c:v>
                </c:pt>
                <c:pt idx="5">
                  <c:v>10.041820094439455</c:v>
                </c:pt>
                <c:pt idx="6">
                  <c:v>25.420999999999999</c:v>
                </c:pt>
                <c:pt idx="7">
                  <c:v>40.997866508344046</c:v>
                </c:pt>
                <c:pt idx="8">
                  <c:v>64.353596750636967</c:v>
                </c:pt>
                <c:pt idx="9">
                  <c:v>219.69108637220108</c:v>
                </c:pt>
                <c:pt idx="10">
                  <c:v>556.15088242421575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56-42D2-90B5-55D4D5ECC9DF}"/>
            </c:ext>
          </c:extLst>
        </c:ser>
        <c:ser>
          <c:idx val="3"/>
          <c:order val="3"/>
          <c:spPr>
            <a:effectLst/>
          </c:spPr>
          <c:marker>
            <c:symbol val="none"/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Sheet2!$L$69:$L$79</c:f>
              <c:numCache>
                <c:formatCode>General</c:formatCode>
                <c:ptCount val="11"/>
                <c:pt idx="0">
                  <c:v>4.5071291210910918</c:v>
                </c:pt>
                <c:pt idx="1">
                  <c:v>6.3691850176849565</c:v>
                </c:pt>
                <c:pt idx="2">
                  <c:v>10.060420538424539</c:v>
                </c:pt>
                <c:pt idx="3">
                  <c:v>14.216739313080042</c:v>
                </c:pt>
                <c:pt idx="4">
                  <c:v>20.090181710010977</c:v>
                </c:pt>
                <c:pt idx="5">
                  <c:v>31.733365593066043</c:v>
                </c:pt>
                <c:pt idx="6">
                  <c:v>44.843551463896617</c:v>
                </c:pt>
                <c:pt idx="7">
                  <c:v>53.577270892523934</c:v>
                </c:pt>
                <c:pt idx="8">
                  <c:v>63.370023012451924</c:v>
                </c:pt>
                <c:pt idx="9">
                  <c:v>100.09586458310069</c:v>
                </c:pt>
                <c:pt idx="10">
                  <c:v>141.44903860233168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E56-42D2-90B5-55D4D5ECC9DF}"/>
            </c:ext>
          </c:extLst>
        </c:ser>
        <c:ser>
          <c:idx val="0"/>
          <c:order val="4"/>
          <c:marker>
            <c:symbol val="none"/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Sheet2!$M$69:$M$79</c:f>
              <c:numCache>
                <c:formatCode>General</c:formatCode>
                <c:ptCount val="11"/>
                <c:pt idx="2">
                  <c:v>1.2766607554018155</c:v>
                </c:pt>
                <c:pt idx="3">
                  <c:v>2.9425366690066337</c:v>
                </c:pt>
                <c:pt idx="4">
                  <c:v>4.6084125826114519</c:v>
                </c:pt>
                <c:pt idx="5">
                  <c:v>6.8105807554018156</c:v>
                </c:pt>
                <c:pt idx="6">
                  <c:v>8.4764566690066356</c:v>
                </c:pt>
                <c:pt idx="7">
                  <c:v>9.3336717234109372</c:v>
                </c:pt>
                <c:pt idx="8">
                  <c:v>10.142332582611454</c:v>
                </c:pt>
                <c:pt idx="9">
                  <c:v>12.344500755401816</c:v>
                </c:pt>
                <c:pt idx="10">
                  <c:v>14.010376669006634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E56-42D2-90B5-55D4D5ECC9DF}"/>
            </c:ext>
          </c:extLst>
        </c:ser>
        <c:ser>
          <c:idx val="6"/>
          <c:order val="5"/>
          <c:spPr>
            <a:ln w="381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Sheet2!$B$69:$B$79</c:f>
              <c:numCache>
                <c:formatCode>0.0</c:formatCode>
                <c:ptCount val="11"/>
                <c:pt idx="0">
                  <c:v>1.8987782820219874</c:v>
                </c:pt>
                <c:pt idx="1">
                  <c:v>3.9491756172814334</c:v>
                </c:pt>
                <c:pt idx="2">
                  <c:v>9.0036206877964435</c:v>
                </c:pt>
                <c:pt idx="3">
                  <c:v>14.216739313080042</c:v>
                </c:pt>
                <c:pt idx="4">
                  <c:v>20.090181710010977</c:v>
                </c:pt>
                <c:pt idx="5">
                  <c:v>20.887592843752749</c:v>
                </c:pt>
                <c:pt idx="6">
                  <c:v>35.132275731948312</c:v>
                </c:pt>
                <c:pt idx="7">
                  <c:v>47.287568700433994</c:v>
                </c:pt>
                <c:pt idx="8">
                  <c:v>63.861809881544445</c:v>
                </c:pt>
                <c:pt idx="9">
                  <c:v>159.8934754776509</c:v>
                </c:pt>
                <c:pt idx="10">
                  <c:v>348.79996051327373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E56-42D2-90B5-55D4D5ECC9DF}"/>
            </c:ext>
          </c:extLst>
        </c:ser>
        <c:ser>
          <c:idx val="1"/>
          <c:order val="6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Sheet2!$A$69:$A$79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Sheet2!$G$69:$G$79</c:f>
              <c:numCache>
                <c:formatCode>General</c:formatCode>
                <c:ptCount val="11"/>
                <c:pt idx="0">
                  <c:v>1.1619697792800698</c:v>
                </c:pt>
                <c:pt idx="1">
                  <c:v>2.2917162268928633</c:v>
                </c:pt>
                <c:pt idx="2">
                  <c:v>5.6245099754496888</c:v>
                </c:pt>
                <c:pt idx="3">
                  <c:v>11.093043045443954</c:v>
                </c:pt>
                <c:pt idx="4">
                  <c:v>21.878457775912128</c:v>
                </c:pt>
                <c:pt idx="5">
                  <c:v>53.695829598812466</c:v>
                </c:pt>
                <c:pt idx="6">
                  <c:v>105.90258559419246</c:v>
                </c:pt>
                <c:pt idx="7">
                  <c:v>150.20630315690579</c:v>
                </c:pt>
                <c:pt idx="8">
                  <c:v>208.86831843982338</c:v>
                </c:pt>
                <c:pt idx="9">
                  <c:v>512.6210334570842</c:v>
                </c:pt>
                <c:pt idx="10">
                  <c:v>1011.026243167923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E56-42D2-90B5-55D4D5EC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14603943737801"/>
          <c:y val="3.8142497812773402E-2"/>
          <c:w val="0.75671310316979623"/>
          <c:h val="0.73825842082239712"/>
        </c:manualLayout>
      </c:layout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Sheet2!$I$97:$I$107</c:f>
              <c:numCache>
                <c:formatCode>General</c:formatCode>
                <c:ptCount val="11"/>
                <c:pt idx="0">
                  <c:v>33.155388948097922</c:v>
                </c:pt>
                <c:pt idx="1">
                  <c:v>51.667009386450211</c:v>
                </c:pt>
                <c:pt idx="2">
                  <c:v>92.874166624922339</c:v>
                </c:pt>
                <c:pt idx="3">
                  <c:v>144.72852199925364</c:v>
                </c:pt>
                <c:pt idx="4">
                  <c:v>225.53467601686779</c:v>
                </c:pt>
                <c:pt idx="5">
                  <c:v>405.41044137889821</c:v>
                </c:pt>
                <c:pt idx="6">
                  <c:v>631.76291229393371</c:v>
                </c:pt>
                <c:pt idx="7">
                  <c:v>793.76396925231302</c:v>
                </c:pt>
                <c:pt idx="8">
                  <c:v>984.49456800519204</c:v>
                </c:pt>
                <c:pt idx="9">
                  <c:v>1769.680762173628</c:v>
                </c:pt>
                <c:pt idx="10">
                  <c:v>2757.7451343845764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8-4F10-928D-60FACF568190}"/>
            </c:ext>
          </c:extLst>
        </c:ser>
        <c:ser>
          <c:idx val="9"/>
          <c:order val="1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Sheet2!$J$97:$J$107</c:f>
              <c:numCache>
                <c:formatCode>General</c:formatCode>
                <c:ptCount val="11"/>
                <c:pt idx="0">
                  <c:v>8.3996269827743308</c:v>
                </c:pt>
                <c:pt idx="1">
                  <c:v>17.53280914163917</c:v>
                </c:pt>
                <c:pt idx="2">
                  <c:v>46.379759767902236</c:v>
                </c:pt>
                <c:pt idx="3">
                  <c:v>96.809950931549821</c:v>
                </c:pt>
                <c:pt idx="4">
                  <c:v>202.07449642408949</c:v>
                </c:pt>
                <c:pt idx="5">
                  <c:v>534.55019806899384</c:v>
                </c:pt>
                <c:pt idx="6">
                  <c:v>1115.7836673687059</c:v>
                </c:pt>
                <c:pt idx="7">
                  <c:v>1629.420645952277</c:v>
                </c:pt>
                <c:pt idx="8">
                  <c:v>2329.0108148198133</c:v>
                </c:pt>
                <c:pt idx="9">
                  <c:v>6160.9614988422873</c:v>
                </c:pt>
                <c:pt idx="10">
                  <c:v>12859.971318930087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D8-4F10-928D-60FACF568190}"/>
            </c:ext>
          </c:extLst>
        </c:ser>
        <c:ser>
          <c:idx val="3"/>
          <c:order val="2"/>
          <c:spPr>
            <a:effectLst/>
          </c:spPr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Sheet2!$K$97:$K$107</c:f>
              <c:numCache>
                <c:formatCode>General</c:formatCode>
                <c:ptCount val="11"/>
                <c:pt idx="0">
                  <c:v>20.198</c:v>
                </c:pt>
                <c:pt idx="1">
                  <c:v>24.430782769031239</c:v>
                </c:pt>
                <c:pt idx="2">
                  <c:v>30.026217230968761</c:v>
                </c:pt>
                <c:pt idx="3">
                  <c:v>34.259</c:v>
                </c:pt>
                <c:pt idx="4">
                  <c:v>38.491782769031239</c:v>
                </c:pt>
                <c:pt idx="5">
                  <c:v>44.087217230968761</c:v>
                </c:pt>
                <c:pt idx="6">
                  <c:v>48.32</c:v>
                </c:pt>
                <c:pt idx="7">
                  <c:v>50.498076459359538</c:v>
                </c:pt>
                <c:pt idx="8">
                  <c:v>52.552782769031239</c:v>
                </c:pt>
                <c:pt idx="9">
                  <c:v>58.148217230968761</c:v>
                </c:pt>
                <c:pt idx="10">
                  <c:v>62.381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D8-4F10-928D-60FACF568190}"/>
            </c:ext>
          </c:extLst>
        </c:ser>
        <c:ser>
          <c:idx val="0"/>
          <c:order val="3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Sheet2!$L$97:$L$107</c:f>
              <c:numCache>
                <c:formatCode>General</c:formatCode>
                <c:ptCount val="11"/>
                <c:pt idx="0">
                  <c:v>22.653472470323557</c:v>
                </c:pt>
                <c:pt idx="1">
                  <c:v>45.181501398100849</c:v>
                </c:pt>
                <c:pt idx="2">
                  <c:v>112.54051733694138</c:v>
                </c:pt>
                <c:pt idx="3">
                  <c:v>224.45784186345463</c:v>
                </c:pt>
                <c:pt idx="4">
                  <c:v>447.67274903455558</c:v>
                </c:pt>
                <c:pt idx="5">
                  <c:v>1115.0873967219984</c:v>
                </c:pt>
                <c:pt idx="6">
                  <c:v>2224</c:v>
                </c:pt>
                <c:pt idx="7">
                  <c:v>3172.6132600968981</c:v>
                </c:pt>
                <c:pt idx="8">
                  <c:v>4435.6846060140051</c:v>
                </c:pt>
                <c:pt idx="9">
                  <c:v>11048.642140194706</c:v>
                </c:pt>
                <c:pt idx="10">
                  <c:v>22036.102454415144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D8-4F10-928D-60FACF568190}"/>
            </c:ext>
          </c:extLst>
        </c:ser>
        <c:ser>
          <c:idx val="6"/>
          <c:order val="4"/>
          <c:spPr>
            <a:effectLst/>
          </c:spPr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Sheet2!$M$97:$M$107</c:f>
              <c:numCache>
                <c:formatCode>General</c:formatCode>
                <c:ptCount val="11"/>
                <c:pt idx="0">
                  <c:v>56.094037471389527</c:v>
                </c:pt>
                <c:pt idx="1">
                  <c:v>73.505256698292712</c:v>
                </c:pt>
                <c:pt idx="2">
                  <c:v>105.07877519251699</c:v>
                </c:pt>
                <c:pt idx="3">
                  <c:v>137.69453389779008</c:v>
                </c:pt>
                <c:pt idx="4">
                  <c:v>180.43400896701598</c:v>
                </c:pt>
                <c:pt idx="5">
                  <c:v>257.93780631433447</c:v>
                </c:pt>
                <c:pt idx="6">
                  <c:v>338</c:v>
                </c:pt>
                <c:pt idx="7">
                  <c:v>388.44404208609643</c:v>
                </c:pt>
                <c:pt idx="8">
                  <c:v>442.9129705041268</c:v>
                </c:pt>
                <c:pt idx="9">
                  <c:v>633.16223285203534</c:v>
                </c:pt>
                <c:pt idx="10">
                  <c:v>829.69161350154013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D8-4F10-928D-60FACF568190}"/>
            </c:ext>
          </c:extLst>
        </c:ser>
        <c:ser>
          <c:idx val="1"/>
          <c:order val="5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Sheet2!$N$97:$N$107</c:f>
              <c:numCache>
                <c:formatCode>General</c:formatCode>
                <c:ptCount val="11"/>
                <c:pt idx="0">
                  <c:v>18.396080159180276</c:v>
                </c:pt>
                <c:pt idx="1">
                  <c:v>28.756705216244928</c:v>
                </c:pt>
                <c:pt idx="2">
                  <c:v>51.905270789673139</c:v>
                </c:pt>
                <c:pt idx="3">
                  <c:v>81.138185871794335</c:v>
                </c:pt>
                <c:pt idx="4">
                  <c:v>126.83500358263537</c:v>
                </c:pt>
                <c:pt idx="5">
                  <c:v>228.9346139295132</c:v>
                </c:pt>
                <c:pt idx="6">
                  <c:v>357.87</c:v>
                </c:pt>
                <c:pt idx="7">
                  <c:v>450.3597885089884</c:v>
                </c:pt>
                <c:pt idx="8">
                  <c:v>559.42146406673055</c:v>
                </c:pt>
                <c:pt idx="9">
                  <c:v>1009.7444182004491</c:v>
                </c:pt>
                <c:pt idx="10">
                  <c:v>1578.4298789026859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D8-4F10-928D-60FACF568190}"/>
            </c:ext>
          </c:extLst>
        </c:ser>
        <c:ser>
          <c:idx val="2"/>
          <c:order val="6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Sheet2!$O$97:$O$107</c:f>
              <c:numCache>
                <c:formatCode>General</c:formatCode>
                <c:ptCount val="11"/>
                <c:pt idx="0">
                  <c:v>9.5229242643316283</c:v>
                </c:pt>
                <c:pt idx="1">
                  <c:v>20.406891613246824</c:v>
                </c:pt>
                <c:pt idx="2">
                  <c:v>52.540864797709347</c:v>
                </c:pt>
                <c:pt idx="3">
                  <c:v>101.72192802842054</c:v>
                </c:pt>
                <c:pt idx="4">
                  <c:v>256.00606809668477</c:v>
                </c:pt>
                <c:pt idx="5">
                  <c:v>4093.0576037287601</c:v>
                </c:pt>
                <c:pt idx="6">
                  <c:v>11689</c:v>
                </c:pt>
                <c:pt idx="7">
                  <c:v>15225.084475968319</c:v>
                </c:pt>
                <c:pt idx="8">
                  <c:v>19536.222165675092</c:v>
                </c:pt>
                <c:pt idx="9">
                  <c:v>38522.470552080544</c:v>
                </c:pt>
                <c:pt idx="10">
                  <c:v>64383.911632827592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D8-4F10-928D-60FACF568190}"/>
            </c:ext>
          </c:extLst>
        </c:ser>
        <c:ser>
          <c:idx val="4"/>
          <c:order val="7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Sheet2!$P$97:$P$107</c:f>
              <c:numCache>
                <c:formatCode>General</c:formatCode>
                <c:ptCount val="11"/>
                <c:pt idx="0">
                  <c:v>25.21090843824377</c:v>
                </c:pt>
                <c:pt idx="1">
                  <c:v>39.95976515934408</c:v>
                </c:pt>
                <c:pt idx="2">
                  <c:v>73.460530956742076</c:v>
                </c:pt>
                <c:pt idx="3">
                  <c:v>116.4363264696631</c:v>
                </c:pt>
                <c:pt idx="4">
                  <c:v>184.55377255213955</c:v>
                </c:pt>
                <c:pt idx="5">
                  <c:v>339.27672166461036</c:v>
                </c:pt>
                <c:pt idx="6">
                  <c:v>537.76</c:v>
                </c:pt>
                <c:pt idx="7">
                  <c:v>681.58629228187931</c:v>
                </c:pt>
                <c:pt idx="8">
                  <c:v>852.35973803670686</c:v>
                </c:pt>
                <c:pt idx="9">
                  <c:v>1566.9461187432523</c:v>
                </c:pt>
                <c:pt idx="10">
                  <c:v>2483.63913881589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5D8-4F10-928D-60FACF568190}"/>
            </c:ext>
          </c:extLst>
        </c:ser>
        <c:ser>
          <c:idx val="5"/>
          <c:order val="8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Sheet2!$Q$97:$Q$107</c:f>
              <c:numCache>
                <c:formatCode>General</c:formatCode>
                <c:ptCount val="11"/>
                <c:pt idx="0">
                  <c:v>32.503153823738856</c:v>
                </c:pt>
                <c:pt idx="1">
                  <c:v>39.717494537971753</c:v>
                </c:pt>
                <c:pt idx="2">
                  <c:v>59.688580794132832</c:v>
                </c:pt>
                <c:pt idx="3">
                  <c:v>100.75322907807738</c:v>
                </c:pt>
                <c:pt idx="4">
                  <c:v>266.97499679575776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5D8-4F10-928D-60FACF568190}"/>
            </c:ext>
          </c:extLst>
        </c:ser>
        <c:ser>
          <c:idx val="10"/>
          <c:order val="9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Sheet2!$R$97:$R$107</c:f>
              <c:numCache>
                <c:formatCode>General</c:formatCode>
                <c:ptCount val="11"/>
                <c:pt idx="0">
                  <c:v>8.5388603404182035</c:v>
                </c:pt>
                <c:pt idx="1">
                  <c:v>13.303588364764773</c:v>
                </c:pt>
                <c:pt idx="2">
                  <c:v>23.907327021210691</c:v>
                </c:pt>
                <c:pt idx="3">
                  <c:v>37.247738563718869</c:v>
                </c:pt>
                <c:pt idx="4">
                  <c:v>58.032168417667457</c:v>
                </c:pt>
                <c:pt idx="5">
                  <c:v>104.28720357777557</c:v>
                </c:pt>
                <c:pt idx="6">
                  <c:v>162.47999999999999</c:v>
                </c:pt>
                <c:pt idx="7">
                  <c:v>204.12241326664034</c:v>
                </c:pt>
                <c:pt idx="8">
                  <c:v>253.14467637739969</c:v>
                </c:pt>
                <c:pt idx="9">
                  <c:v>454.91580135342309</c:v>
                </c:pt>
                <c:pt idx="10">
                  <c:v>708.76116022019767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5D8-4F10-928D-60FACF568190}"/>
            </c:ext>
          </c:extLst>
        </c:ser>
        <c:ser>
          <c:idx val="11"/>
          <c:order val="10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Sheet2!$S$97:$S$107</c:f>
              <c:numCache>
                <c:formatCode>General</c:formatCode>
                <c:ptCount val="11"/>
                <c:pt idx="0">
                  <c:v>55.206887005676499</c:v>
                </c:pt>
                <c:pt idx="1">
                  <c:v>77.642590473155323</c:v>
                </c:pt>
                <c:pt idx="2">
                  <c:v>121.8671068622768</c:v>
                </c:pt>
                <c:pt idx="3">
                  <c:v>171.39307038419159</c:v>
                </c:pt>
                <c:pt idx="4">
                  <c:v>241.04604870055778</c:v>
                </c:pt>
                <c:pt idx="5">
                  <c:v>378.34369508674484</c:v>
                </c:pt>
                <c:pt idx="6">
                  <c:v>532.10000000000025</c:v>
                </c:pt>
                <c:pt idx="7">
                  <c:v>634.16902130171638</c:v>
                </c:pt>
                <c:pt idx="8">
                  <c:v>748.34182167377071</c:v>
                </c:pt>
                <c:pt idx="9">
                  <c:v>1174.5905461894649</c:v>
                </c:pt>
                <c:pt idx="10">
                  <c:v>1651.9361568430993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85D8-4F10-928D-60FACF568190}"/>
            </c:ext>
          </c:extLst>
        </c:ser>
        <c:ser>
          <c:idx val="12"/>
          <c:order val="11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Sheet2!$T$97:$T$107</c:f>
              <c:numCache>
                <c:formatCode>General</c:formatCode>
                <c:ptCount val="11"/>
                <c:pt idx="0">
                  <c:v>26.401094229725221</c:v>
                </c:pt>
                <c:pt idx="1">
                  <c:v>36.695361893669485</c:v>
                </c:pt>
                <c:pt idx="2">
                  <c:v>56.706478632086302</c:v>
                </c:pt>
                <c:pt idx="3">
                  <c:v>78.817367833836897</c:v>
                </c:pt>
                <c:pt idx="4">
                  <c:v>109.54969559226534</c:v>
                </c:pt>
                <c:pt idx="5">
                  <c:v>169.29053568827325</c:v>
                </c:pt>
                <c:pt idx="6">
                  <c:v>235.30000000000035</c:v>
                </c:pt>
                <c:pt idx="7">
                  <c:v>278.74068191395253</c:v>
                </c:pt>
                <c:pt idx="8">
                  <c:v>327.04775712890205</c:v>
                </c:pt>
                <c:pt idx="9">
                  <c:v>505.39702279108099</c:v>
                </c:pt>
                <c:pt idx="10">
                  <c:v>702.46053023139689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5D8-4F10-928D-60FACF568190}"/>
            </c:ext>
          </c:extLst>
        </c:ser>
        <c:ser>
          <c:idx val="13"/>
          <c:order val="12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Sheet2!$U$97:$U$107</c:f>
              <c:numCache>
                <c:formatCode>General</c:formatCode>
                <c:ptCount val="11"/>
                <c:pt idx="0">
                  <c:v>18.42468196143636</c:v>
                </c:pt>
                <c:pt idx="1">
                  <c:v>28.787444335747974</c:v>
                </c:pt>
                <c:pt idx="2">
                  <c:v>51.927437153826361</c:v>
                </c:pt>
                <c:pt idx="3">
                  <c:v>81.133460522826311</c:v>
                </c:pt>
                <c:pt idx="4">
                  <c:v>126.76609471230122</c:v>
                </c:pt>
                <c:pt idx="5">
                  <c:v>228.66352218125738</c:v>
                </c:pt>
                <c:pt idx="6">
                  <c:v>357.27283815192919</c:v>
                </c:pt>
                <c:pt idx="7">
                  <c:v>449.49605224307663</c:v>
                </c:pt>
                <c:pt idx="8">
                  <c:v>558.21706787125197</c:v>
                </c:pt>
                <c:pt idx="9">
                  <c:v>1006.9244553981522</c:v>
                </c:pt>
                <c:pt idx="10">
                  <c:v>1573.2581854464695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85D8-4F10-928D-60FACF568190}"/>
            </c:ext>
          </c:extLst>
        </c:ser>
        <c:ser>
          <c:idx val="14"/>
          <c:order val="13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Sheet2!$V$97:$V$107</c:f>
              <c:numCache>
                <c:formatCode>General</c:formatCode>
                <c:ptCount val="11"/>
                <c:pt idx="0">
                  <c:v>25.562400000000004</c:v>
                </c:pt>
                <c:pt idx="1">
                  <c:v>34.844800000000006</c:v>
                </c:pt>
                <c:pt idx="2">
                  <c:v>62.692</c:v>
                </c:pt>
                <c:pt idx="3">
                  <c:v>109.104</c:v>
                </c:pt>
                <c:pt idx="4">
                  <c:v>201.928</c:v>
                </c:pt>
                <c:pt idx="5">
                  <c:v>480.4</c:v>
                </c:pt>
                <c:pt idx="6">
                  <c:v>944.52</c:v>
                </c:pt>
                <c:pt idx="7">
                  <c:v>1342.3371428571429</c:v>
                </c:pt>
                <c:pt idx="8">
                  <c:v>1872.76</c:v>
                </c:pt>
                <c:pt idx="9">
                  <c:v>4657.4799999999996</c:v>
                </c:pt>
                <c:pt idx="10">
                  <c:v>9298.68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85D8-4F10-928D-60FACF568190}"/>
            </c:ext>
          </c:extLst>
        </c:ser>
        <c:ser>
          <c:idx val="15"/>
          <c:order val="14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Sheet2!$W$97:$W$107</c:f>
              <c:numCache>
                <c:formatCode>General</c:formatCode>
                <c:ptCount val="11"/>
                <c:pt idx="0">
                  <c:v>3.481337125357971</c:v>
                </c:pt>
                <c:pt idx="1">
                  <c:v>3.6817917590900771</c:v>
                </c:pt>
                <c:pt idx="2">
                  <c:v>4.0891407256226904</c:v>
                </c:pt>
                <c:pt idx="3">
                  <c:v>4.6126742507159424</c:v>
                </c:pt>
                <c:pt idx="4">
                  <c:v>5.5871550090555777</c:v>
                </c:pt>
                <c:pt idx="5">
                  <c:v>9.8664411630314994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85D8-4F10-928D-60FACF568190}"/>
            </c:ext>
          </c:extLst>
        </c:ser>
        <c:ser>
          <c:idx val="16"/>
          <c:order val="15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Sheet2!$X$97:$X$107</c:f>
              <c:numCache>
                <c:formatCode>General</c:formatCode>
                <c:ptCount val="11"/>
                <c:pt idx="0">
                  <c:v>131.36101400339459</c:v>
                </c:pt>
                <c:pt idx="1">
                  <c:v>156.21545248680886</c:v>
                </c:pt>
                <c:pt idx="2">
                  <c:v>196.43053218995973</c:v>
                </c:pt>
                <c:pt idx="3">
                  <c:v>233.59658648407105</c:v>
                </c:pt>
                <c:pt idx="4">
                  <c:v>277.79472268720588</c:v>
                </c:pt>
                <c:pt idx="5">
                  <c:v>349.30837089639334</c:v>
                </c:pt>
                <c:pt idx="6">
                  <c:v>415.4000000000002</c:v>
                </c:pt>
                <c:pt idx="7">
                  <c:v>454.1423283261455</c:v>
                </c:pt>
                <c:pt idx="8">
                  <c:v>493.9966355721308</c:v>
                </c:pt>
                <c:pt idx="9">
                  <c:v>621.16788371929522</c:v>
                </c:pt>
                <c:pt idx="10">
                  <c:v>738.69726693016912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85D8-4F10-928D-60FACF568190}"/>
            </c:ext>
          </c:extLst>
        </c:ser>
        <c:ser>
          <c:idx val="17"/>
          <c:order val="16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Sheet2!$Y$97:$Y$107</c:f>
              <c:numCache>
                <c:formatCode>General</c:formatCode>
                <c:ptCount val="11"/>
                <c:pt idx="0">
                  <c:v>0.97559995488723494</c:v>
                </c:pt>
                <c:pt idx="1">
                  <c:v>2.0854541536173321</c:v>
                </c:pt>
                <c:pt idx="2">
                  <c:v>5.693022448553255</c:v>
                </c:pt>
                <c:pt idx="3">
                  <c:v>12.169473002224967</c:v>
                </c:pt>
                <c:pt idx="4">
                  <c:v>26.013611309317309</c:v>
                </c:pt>
                <c:pt idx="5">
                  <c:v>71.013823485403236</c:v>
                </c:pt>
                <c:pt idx="6">
                  <c:v>151.80000000000004</c:v>
                </c:pt>
                <c:pt idx="7">
                  <c:v>224.41109233693592</c:v>
                </c:pt>
                <c:pt idx="8">
                  <c:v>324.48949893166207</c:v>
                </c:pt>
                <c:pt idx="9">
                  <c:v>885.81472699050414</c:v>
                </c:pt>
                <c:pt idx="10">
                  <c:v>1893.5281746207881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85D8-4F10-928D-60FACF568190}"/>
            </c:ext>
          </c:extLst>
        </c:ser>
        <c:ser>
          <c:idx val="18"/>
          <c:order val="17"/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Sheet2!$Z$97:$Z$107</c:f>
              <c:numCache>
                <c:formatCode>General</c:formatCode>
                <c:ptCount val="11"/>
                <c:pt idx="0">
                  <c:v>8.9781374018893416</c:v>
                </c:pt>
                <c:pt idx="1">
                  <c:v>13.791583205563805</c:v>
                </c:pt>
                <c:pt idx="2">
                  <c:v>24.325309309619431</c:v>
                </c:pt>
                <c:pt idx="3">
                  <c:v>37.366829257268144</c:v>
                </c:pt>
                <c:pt idx="4">
                  <c:v>57.400294934365874</c:v>
                </c:pt>
                <c:pt idx="5">
                  <c:v>101.2414534234578</c:v>
                </c:pt>
                <c:pt idx="6">
                  <c:v>155.52000000000001</c:v>
                </c:pt>
                <c:pt idx="7">
                  <c:v>193.96216872858378</c:v>
                </c:pt>
                <c:pt idx="8">
                  <c:v>238.89888560604135</c:v>
                </c:pt>
                <c:pt idx="9">
                  <c:v>421.36491506979053</c:v>
                </c:pt>
                <c:pt idx="10">
                  <c:v>647.27114611405079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85D8-4F10-928D-60FACF568190}"/>
            </c:ext>
          </c:extLst>
        </c:ser>
        <c:ser>
          <c:idx val="7"/>
          <c:order val="18"/>
          <c:spPr>
            <a:ln w="19050"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Sheet2!$B$97:$B$107</c:f>
              <c:numCache>
                <c:formatCode>0.0</c:formatCode>
                <c:ptCount val="11"/>
                <c:pt idx="0">
                  <c:v>22.653472470323557</c:v>
                </c:pt>
                <c:pt idx="1">
                  <c:v>34.844800000000006</c:v>
                </c:pt>
                <c:pt idx="2">
                  <c:v>56.706478632086302</c:v>
                </c:pt>
                <c:pt idx="3">
                  <c:v>100.75322907807738</c:v>
                </c:pt>
                <c:pt idx="4">
                  <c:v>184.55377255213955</c:v>
                </c:pt>
                <c:pt idx="5">
                  <c:v>298.60726398947241</c:v>
                </c:pt>
                <c:pt idx="6">
                  <c:v>415.4000000000002</c:v>
                </c:pt>
                <c:pt idx="7">
                  <c:v>454.1423283261455</c:v>
                </c:pt>
                <c:pt idx="8">
                  <c:v>559.42146406673055</c:v>
                </c:pt>
                <c:pt idx="9">
                  <c:v>1009.7444182004491</c:v>
                </c:pt>
                <c:pt idx="10">
                  <c:v>1651.9361568430993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85D8-4F10-928D-60FACF568190}"/>
            </c:ext>
          </c:extLst>
        </c:ser>
        <c:ser>
          <c:idx val="19"/>
          <c:order val="19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Sheet2!$A$97:$A$107</c:f>
              <c:numCache>
                <c:formatCode>General</c:formatCode>
                <c:ptCount val="11"/>
                <c:pt idx="0">
                  <c:v>100</c:v>
                </c:pt>
                <c:pt idx="1">
                  <c:v>50</c:v>
                </c:pt>
                <c:pt idx="2">
                  <c:v>20</c:v>
                </c:pt>
                <c:pt idx="3">
                  <c:v>10</c:v>
                </c:pt>
                <c:pt idx="4">
                  <c:v>5</c:v>
                </c:pt>
                <c:pt idx="5">
                  <c:v>2</c:v>
                </c:pt>
                <c:pt idx="6">
                  <c:v>1</c:v>
                </c:pt>
                <c:pt idx="7">
                  <c:v>0.7</c:v>
                </c:pt>
                <c:pt idx="8">
                  <c:v>0.5</c:v>
                </c:pt>
                <c:pt idx="9">
                  <c:v>0.2</c:v>
                </c:pt>
                <c:pt idx="10">
                  <c:v>0.1</c:v>
                </c:pt>
              </c:numCache>
            </c:numRef>
          </c:xVal>
          <c:yVal>
            <c:numRef>
              <c:f>Sheet2!$G$97:$G$107</c:f>
              <c:numCache>
                <c:formatCode>General</c:formatCode>
                <c:ptCount val="11"/>
                <c:pt idx="0">
                  <c:v>28.533047680383564</c:v>
                </c:pt>
                <c:pt idx="1">
                  <c:v>43.107323496636994</c:v>
                </c:pt>
                <c:pt idx="2">
                  <c:v>74.377983920531292</c:v>
                </c:pt>
                <c:pt idx="3">
                  <c:v>112.36920254033316</c:v>
                </c:pt>
                <c:pt idx="4">
                  <c:v>169.76579646258625</c:v>
                </c:pt>
                <c:pt idx="5">
                  <c:v>292.91629948993489</c:v>
                </c:pt>
                <c:pt idx="6">
                  <c:v>442.53378822309799</c:v>
                </c:pt>
                <c:pt idx="7">
                  <c:v>547.21682063074377</c:v>
                </c:pt>
                <c:pt idx="8">
                  <c:v>668.57376684090946</c:v>
                </c:pt>
                <c:pt idx="9">
                  <c:v>1153.5666064644829</c:v>
                </c:pt>
                <c:pt idx="10">
                  <c:v>1742.7920577152215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85D8-4F10-928D-60FACF568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DPI (mm/blow)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</a:t>
                </a:r>
                <a:r>
                  <a:rPr lang="en-US" baseline="-25000"/>
                  <a:t>R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72575543441685"/>
          <c:y val="6.3211942257217851E-2"/>
          <c:w val="0.76213338717275725"/>
          <c:h val="0.72279254155730532"/>
        </c:manualLayout>
      </c:layout>
      <c:scatterChart>
        <c:scatterStyle val="smoothMarker"/>
        <c:varyColors val="0"/>
        <c:ser>
          <c:idx val="8"/>
          <c:order val="0"/>
          <c:spPr>
            <a:ln w="2222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Sheet2!$B$147:$B$157</c:f>
              <c:numCache>
                <c:formatCode>0.0</c:formatCode>
                <c:ptCount val="11"/>
                <c:pt idx="0">
                  <c:v>3.9510810037293238</c:v>
                </c:pt>
                <c:pt idx="1">
                  <c:v>6.4877050422873008</c:v>
                </c:pt>
                <c:pt idx="2">
                  <c:v>12.142349177233161</c:v>
                </c:pt>
                <c:pt idx="3">
                  <c:v>18.296367199573346</c:v>
                </c:pt>
                <c:pt idx="4">
                  <c:v>24.808235375093588</c:v>
                </c:pt>
                <c:pt idx="5">
                  <c:v>31.604540105537858</c:v>
                </c:pt>
                <c:pt idx="6">
                  <c:v>38.639333431199852</c:v>
                </c:pt>
                <c:pt idx="7">
                  <c:v>45.880794381036793</c:v>
                </c:pt>
                <c:pt idx="8">
                  <c:v>53.305419564348384</c:v>
                </c:pt>
                <c:pt idx="9">
                  <c:v>60.895052482370474</c:v>
                </c:pt>
                <c:pt idx="10">
                  <c:v>64.747104398843675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16-4775-967F-0AEEC1E2C261}"/>
            </c:ext>
          </c:extLst>
        </c:ser>
        <c:ser>
          <c:idx val="9"/>
          <c:order val="1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Sheet2!$I$147:$I$157</c:f>
              <c:numCache>
                <c:formatCode>General</c:formatCode>
                <c:ptCount val="11"/>
                <c:pt idx="0">
                  <c:v>5.2859999999999996</c:v>
                </c:pt>
                <c:pt idx="1">
                  <c:v>6.8710000000000004</c:v>
                </c:pt>
                <c:pt idx="2">
                  <c:v>10.041</c:v>
                </c:pt>
                <c:pt idx="3">
                  <c:v>13.211</c:v>
                </c:pt>
                <c:pt idx="4">
                  <c:v>16.381</c:v>
                </c:pt>
                <c:pt idx="5">
                  <c:v>19.550999999999998</c:v>
                </c:pt>
                <c:pt idx="6">
                  <c:v>22.721</c:v>
                </c:pt>
                <c:pt idx="7">
                  <c:v>25.891000000000002</c:v>
                </c:pt>
                <c:pt idx="8">
                  <c:v>29.061</c:v>
                </c:pt>
                <c:pt idx="9">
                  <c:v>32.231000000000002</c:v>
                </c:pt>
                <c:pt idx="10">
                  <c:v>33.816000000000003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16-4775-967F-0AEEC1E2C261}"/>
            </c:ext>
          </c:extLst>
        </c:ser>
        <c:ser>
          <c:idx val="3"/>
          <c:order val="2"/>
          <c:spPr>
            <a:effectLst/>
          </c:spPr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Sheet2!$J$147:$J$157</c:f>
              <c:numCache>
                <c:formatCode>General</c:formatCode>
                <c:ptCount val="11"/>
                <c:pt idx="0">
                  <c:v>2.6161620074586476</c:v>
                </c:pt>
                <c:pt idx="1">
                  <c:v>6.1044100845746012</c:v>
                </c:pt>
                <c:pt idx="2">
                  <c:v>14.24369835446632</c:v>
                </c:pt>
                <c:pt idx="3">
                  <c:v>23.381734399146691</c:v>
                </c:pt>
                <c:pt idx="4">
                  <c:v>33.235470750187176</c:v>
                </c:pt>
                <c:pt idx="5">
                  <c:v>43.658080211075713</c:v>
                </c:pt>
                <c:pt idx="6">
                  <c:v>54.557666862399699</c:v>
                </c:pt>
                <c:pt idx="7">
                  <c:v>65.870588762073595</c:v>
                </c:pt>
                <c:pt idx="8">
                  <c:v>77.54983912869676</c:v>
                </c:pt>
                <c:pt idx="9">
                  <c:v>89.559104964740953</c:v>
                </c:pt>
                <c:pt idx="10">
                  <c:v>95.678208797687361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16-4775-967F-0AEEC1E2C261}"/>
            </c:ext>
          </c:extLst>
        </c:ser>
        <c:ser>
          <c:idx val="0"/>
          <c:order val="3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Sheet2!$K$147:$K$157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16-4775-967F-0AEEC1E2C261}"/>
            </c:ext>
          </c:extLst>
        </c:ser>
        <c:ser>
          <c:idx val="6"/>
          <c:order val="4"/>
          <c:spPr>
            <a:effectLst/>
          </c:spPr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Sheet2!$L$147:$L$157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16-4775-967F-0AEEC1E2C261}"/>
            </c:ext>
          </c:extLst>
        </c:ser>
        <c:ser>
          <c:idx val="1"/>
          <c:order val="5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Sheet2!$M$147:$M$157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D16-4775-967F-0AEEC1E2C261}"/>
            </c:ext>
          </c:extLst>
        </c:ser>
        <c:ser>
          <c:idx val="2"/>
          <c:order val="6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Sheet2!$N$147:$N$157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D16-4775-967F-0AEEC1E2C261}"/>
            </c:ext>
          </c:extLst>
        </c:ser>
        <c:ser>
          <c:idx val="4"/>
          <c:order val="7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Sheet2!$O$147:$O$157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D16-4775-967F-0AEEC1E2C261}"/>
            </c:ext>
          </c:extLst>
        </c:ser>
        <c:ser>
          <c:idx val="5"/>
          <c:order val="8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Sheet2!$P$147:$P$157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D16-4775-967F-0AEEC1E2C261}"/>
            </c:ext>
          </c:extLst>
        </c:ser>
        <c:ser>
          <c:idx val="10"/>
          <c:order val="9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Sheet2!$Q$147:$Q$157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D16-4775-967F-0AEEC1E2C261}"/>
            </c:ext>
          </c:extLst>
        </c:ser>
        <c:ser>
          <c:idx val="11"/>
          <c:order val="10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Sheet2!$R$147:$R$157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D16-4775-967F-0AEEC1E2C261}"/>
            </c:ext>
          </c:extLst>
        </c:ser>
        <c:ser>
          <c:idx val="12"/>
          <c:order val="11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Sheet2!$S$147:$S$157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D16-4775-967F-0AEEC1E2C261}"/>
            </c:ext>
          </c:extLst>
        </c:ser>
        <c:ser>
          <c:idx val="13"/>
          <c:order val="12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Sheet2!$T$147:$T$157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D16-4775-967F-0AEEC1E2C261}"/>
            </c:ext>
          </c:extLst>
        </c:ser>
        <c:ser>
          <c:idx val="14"/>
          <c:order val="13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Sheet2!$U$147:$U$157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D16-4775-967F-0AEEC1E2C261}"/>
            </c:ext>
          </c:extLst>
        </c:ser>
        <c:ser>
          <c:idx val="15"/>
          <c:order val="14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Sheet2!$V$147:$V$157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D16-4775-967F-0AEEC1E2C261}"/>
            </c:ext>
          </c:extLst>
        </c:ser>
        <c:ser>
          <c:idx val="16"/>
          <c:order val="15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Sheet2!$W$147:$W$157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D16-4775-967F-0AEEC1E2C261}"/>
            </c:ext>
          </c:extLst>
        </c:ser>
        <c:ser>
          <c:idx val="17"/>
          <c:order val="16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Sheet2!$X$147:$X$157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D16-4775-967F-0AEEC1E2C261}"/>
            </c:ext>
          </c:extLst>
        </c:ser>
        <c:ser>
          <c:idx val="18"/>
          <c:order val="17"/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Sheet2!$Y$147:$Y$157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D16-4775-967F-0AEEC1E2C261}"/>
            </c:ext>
          </c:extLst>
        </c:ser>
        <c:ser>
          <c:idx val="7"/>
          <c:order val="18"/>
          <c:spPr>
            <a:ln w="38100"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8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Sheet2!$Z$147:$Z$157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ED16-4775-967F-0AEEC1E2C261}"/>
            </c:ext>
          </c:extLst>
        </c:ser>
        <c:ser>
          <c:idx val="19"/>
          <c:order val="19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Sheet2!$A$147:$A$157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95</c:v>
                </c:pt>
              </c:numCache>
            </c:numRef>
          </c:xVal>
          <c:yVal>
            <c:numRef>
              <c:f>Sheet2!$G$147:$G$157</c:f>
              <c:numCache>
                <c:formatCode>General</c:formatCode>
                <c:ptCount val="11"/>
                <c:pt idx="0">
                  <c:v>0.59729617093002541</c:v>
                </c:pt>
                <c:pt idx="1">
                  <c:v>1.8770621934135359</c:v>
                </c:pt>
                <c:pt idx="2">
                  <c:v>5.9741781491774741</c:v>
                </c:pt>
                <c:pt idx="3">
                  <c:v>11.988167561808602</c:v>
                </c:pt>
                <c:pt idx="4">
                  <c:v>20.096973651616548</c:v>
                </c:pt>
                <c:pt idx="5">
                  <c:v>30.81853294276976</c:v>
                </c:pt>
                <c:pt idx="6">
                  <c:v>45.193395127906712</c:v>
                </c:pt>
                <c:pt idx="7">
                  <c:v>65.35854474715299</c:v>
                </c:pt>
                <c:pt idx="8">
                  <c:v>96.450401565495113</c:v>
                </c:pt>
                <c:pt idx="9">
                  <c:v>156.15486472287182</c:v>
                </c:pt>
                <c:pt idx="10">
                  <c:v>223.74917160346288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ED16-4775-967F-0AEEC1E2C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 val="autoZero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99925970792114"/>
          <c:y val="5.5973862642169733E-2"/>
          <c:w val="0.75785988289925299"/>
          <c:h val="0.72742180664916889"/>
        </c:manualLayout>
      </c:layout>
      <c:scatterChart>
        <c:scatterStyle val="smoothMarker"/>
        <c:varyColors val="0"/>
        <c:ser>
          <c:idx val="8"/>
          <c:order val="0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Sheet2!$B$203:$B$213</c:f>
              <c:numCache>
                <c:formatCode>0.0</c:formatCode>
                <c:ptCount val="11"/>
                <c:pt idx="0">
                  <c:v>23.281782877002819</c:v>
                </c:pt>
                <c:pt idx="1">
                  <c:v>30.88102167572972</c:v>
                </c:pt>
                <c:pt idx="2">
                  <c:v>42.234873356742028</c:v>
                </c:pt>
                <c:pt idx="3">
                  <c:v>51.480232609360343</c:v>
                </c:pt>
                <c:pt idx="4">
                  <c:v>59.654132995597529</c:v>
                </c:pt>
                <c:pt idx="5">
                  <c:v>67.15162828844521</c:v>
                </c:pt>
                <c:pt idx="6">
                  <c:v>74.17307312596607</c:v>
                </c:pt>
                <c:pt idx="7">
                  <c:v>80.836472133490076</c:v>
                </c:pt>
                <c:pt idx="8">
                  <c:v>87.218176779210751</c:v>
                </c:pt>
                <c:pt idx="9">
                  <c:v>93.370908468891884</c:v>
                </c:pt>
                <c:pt idx="10">
                  <c:v>99.332856940495461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C0-4CF5-86BD-4F5B76CB0B92}"/>
            </c:ext>
          </c:extLst>
        </c:ser>
        <c:ser>
          <c:idx val="9"/>
          <c:order val="1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Sheet2!$I$203:$I$213</c:f>
              <c:numCache>
                <c:formatCode>General</c:formatCode>
                <c:ptCount val="11"/>
                <c:pt idx="0">
                  <c:v>13.775</c:v>
                </c:pt>
                <c:pt idx="1">
                  <c:v>16.66</c:v>
                </c:pt>
                <c:pt idx="2">
                  <c:v>22.43</c:v>
                </c:pt>
                <c:pt idx="3">
                  <c:v>28.2</c:v>
                </c:pt>
                <c:pt idx="4">
                  <c:v>33.97</c:v>
                </c:pt>
                <c:pt idx="5">
                  <c:v>39.739999999999995</c:v>
                </c:pt>
                <c:pt idx="6">
                  <c:v>45.51</c:v>
                </c:pt>
                <c:pt idx="7">
                  <c:v>51.28</c:v>
                </c:pt>
                <c:pt idx="8">
                  <c:v>57.05</c:v>
                </c:pt>
                <c:pt idx="9">
                  <c:v>62.819999999999993</c:v>
                </c:pt>
                <c:pt idx="10">
                  <c:v>68.59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C0-4CF5-86BD-4F5B76CB0B92}"/>
            </c:ext>
          </c:extLst>
        </c:ser>
        <c:ser>
          <c:idx val="3"/>
          <c:order val="2"/>
          <c:spPr>
            <a:effectLst/>
          </c:spPr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Sheet2!$J$203:$J$213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C0-4CF5-86BD-4F5B76CB0B92}"/>
            </c:ext>
          </c:extLst>
        </c:ser>
        <c:ser>
          <c:idx val="0"/>
          <c:order val="3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Sheet2!$K$203:$K$213</c:f>
              <c:numCache>
                <c:formatCode>General</c:formatCode>
                <c:ptCount val="11"/>
                <c:pt idx="0">
                  <c:v>32.788565754005631</c:v>
                </c:pt>
                <c:pt idx="1">
                  <c:v>45.102043351459443</c:v>
                </c:pt>
                <c:pt idx="2">
                  <c:v>62.03974671348405</c:v>
                </c:pt>
                <c:pt idx="3">
                  <c:v>74.760465218720697</c:v>
                </c:pt>
                <c:pt idx="4">
                  <c:v>85.338265991195058</c:v>
                </c:pt>
                <c:pt idx="5">
                  <c:v>94.56325657689041</c:v>
                </c:pt>
                <c:pt idx="6">
                  <c:v>102.83614625193213</c:v>
                </c:pt>
                <c:pt idx="7">
                  <c:v>110.39294426698014</c:v>
                </c:pt>
                <c:pt idx="8">
                  <c:v>117.3863535584215</c:v>
                </c:pt>
                <c:pt idx="9">
                  <c:v>123.92181693778377</c:v>
                </c:pt>
                <c:pt idx="10">
                  <c:v>130.07571388099092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C0-4CF5-86BD-4F5B76CB0B92}"/>
            </c:ext>
          </c:extLst>
        </c:ser>
        <c:ser>
          <c:idx val="6"/>
          <c:order val="4"/>
          <c:spPr>
            <a:effectLst/>
          </c:spPr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Sheet2!$L$203:$L$213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C0-4CF5-86BD-4F5B76CB0B92}"/>
            </c:ext>
          </c:extLst>
        </c:ser>
        <c:ser>
          <c:idx val="1"/>
          <c:order val="5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Sheet2!$M$203:$M$213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2C0-4CF5-86BD-4F5B76CB0B92}"/>
            </c:ext>
          </c:extLst>
        </c:ser>
        <c:ser>
          <c:idx val="2"/>
          <c:order val="6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Sheet2!$N$203:$N$213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2C0-4CF5-86BD-4F5B76CB0B92}"/>
            </c:ext>
          </c:extLst>
        </c:ser>
        <c:ser>
          <c:idx val="4"/>
          <c:order val="7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Sheet2!$O$203:$O$213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2C0-4CF5-86BD-4F5B76CB0B92}"/>
            </c:ext>
          </c:extLst>
        </c:ser>
        <c:ser>
          <c:idx val="5"/>
          <c:order val="8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Sheet2!$P$203:$P$213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2C0-4CF5-86BD-4F5B76CB0B92}"/>
            </c:ext>
          </c:extLst>
        </c:ser>
        <c:ser>
          <c:idx val="10"/>
          <c:order val="9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Sheet2!$Q$203:$Q$213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2C0-4CF5-86BD-4F5B76CB0B92}"/>
            </c:ext>
          </c:extLst>
        </c:ser>
        <c:ser>
          <c:idx val="11"/>
          <c:order val="10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Sheet2!$R$203:$R$213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2C0-4CF5-86BD-4F5B76CB0B92}"/>
            </c:ext>
          </c:extLst>
        </c:ser>
        <c:ser>
          <c:idx val="12"/>
          <c:order val="11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Sheet2!$S$203:$S$213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2C0-4CF5-86BD-4F5B76CB0B92}"/>
            </c:ext>
          </c:extLst>
        </c:ser>
        <c:ser>
          <c:idx val="13"/>
          <c:order val="12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Sheet2!$T$203:$T$213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2C0-4CF5-86BD-4F5B76CB0B92}"/>
            </c:ext>
          </c:extLst>
        </c:ser>
        <c:ser>
          <c:idx val="14"/>
          <c:order val="13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Sheet2!$U$203:$U$213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2C0-4CF5-86BD-4F5B76CB0B92}"/>
            </c:ext>
          </c:extLst>
        </c:ser>
        <c:ser>
          <c:idx val="15"/>
          <c:order val="14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Sheet2!$V$203:$V$213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2C0-4CF5-86BD-4F5B76CB0B92}"/>
            </c:ext>
          </c:extLst>
        </c:ser>
        <c:ser>
          <c:idx val="16"/>
          <c:order val="15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Sheet2!$W$203:$W$213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2C0-4CF5-86BD-4F5B76CB0B92}"/>
            </c:ext>
          </c:extLst>
        </c:ser>
        <c:ser>
          <c:idx val="17"/>
          <c:order val="16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Sheet2!$X$203:$X$213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2C0-4CF5-86BD-4F5B76CB0B92}"/>
            </c:ext>
          </c:extLst>
        </c:ser>
        <c:ser>
          <c:idx val="18"/>
          <c:order val="17"/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Sheet2!$Y$203:$Y$213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2C0-4CF5-86BD-4F5B76CB0B92}"/>
            </c:ext>
          </c:extLst>
        </c:ser>
        <c:ser>
          <c:idx val="7"/>
          <c:order val="18"/>
          <c:spPr>
            <a:ln w="38100"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8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Sheet2!$Z$203:$Z$213</c:f>
              <c:numCache>
                <c:formatCode>General</c:formatCode>
                <c:ptCount val="1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22C0-4CF5-86BD-4F5B76CB0B92}"/>
            </c:ext>
          </c:extLst>
        </c:ser>
        <c:ser>
          <c:idx val="19"/>
          <c:order val="19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Sheet2!$A$203:$A$213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Sheet2!$G$203:$G$213</c:f>
              <c:numCache>
                <c:formatCode>General</c:formatCode>
                <c:ptCount val="11"/>
                <c:pt idx="0">
                  <c:v>8.8462893633923017</c:v>
                </c:pt>
                <c:pt idx="1">
                  <c:v>16.660000000004167</c:v>
                </c:pt>
                <c:pt idx="2">
                  <c:v>31.37536978484102</c:v>
                </c:pt>
                <c:pt idx="3">
                  <c:v>45.436320017773951</c:v>
                </c:pt>
                <c:pt idx="4">
                  <c:v>59.088465134169653</c:v>
                </c:pt>
                <c:pt idx="5">
                  <c:v>72.444463899336753</c:v>
                </c:pt>
                <c:pt idx="6">
                  <c:v>85.569108176450882</c:v>
                </c:pt>
                <c:pt idx="7">
                  <c:v>98.504430336450497</c:v>
                </c:pt>
                <c:pt idx="8">
                  <c:v>111.27985855959153</c:v>
                </c:pt>
                <c:pt idx="9">
                  <c:v>123.9171174524039</c:v>
                </c:pt>
                <c:pt idx="10">
                  <c:v>136.43288377585139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22C0-4CF5-86BD-4F5B76CB0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Soaked CBR(%)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In-situ 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99925970792114"/>
          <c:y val="5.5973862642169733E-2"/>
          <c:w val="0.75785988289925299"/>
          <c:h val="0.73436625109361331"/>
        </c:manualLayout>
      </c:layout>
      <c:scatterChart>
        <c:scatterStyle val="smoothMarker"/>
        <c:varyColors val="0"/>
        <c:ser>
          <c:idx val="9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Sheet2!$A$217:$A$227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Sheet2!$I$217:$I$227</c:f>
              <c:numCache>
                <c:formatCode>General</c:formatCode>
                <c:ptCount val="11"/>
                <c:pt idx="0">
                  <c:v>9.9387096774193555</c:v>
                </c:pt>
                <c:pt idx="1">
                  <c:v>26.06774193548387</c:v>
                </c:pt>
                <c:pt idx="2">
                  <c:v>58.325806451612905</c:v>
                </c:pt>
                <c:pt idx="3">
                  <c:v>90.58387096774193</c:v>
                </c:pt>
                <c:pt idx="4">
                  <c:v>122.84193548387098</c:v>
                </c:pt>
                <c:pt idx="5">
                  <c:v>155.10000000000002</c:v>
                </c:pt>
                <c:pt idx="6">
                  <c:v>187.35806451612905</c:v>
                </c:pt>
                <c:pt idx="7">
                  <c:v>219.61612903225807</c:v>
                </c:pt>
                <c:pt idx="8">
                  <c:v>251.8741935483871</c:v>
                </c:pt>
                <c:pt idx="9">
                  <c:v>284.13225806451612</c:v>
                </c:pt>
                <c:pt idx="10">
                  <c:v>316.39032258064515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4D8-464F-9573-B0E93358A701}"/>
            </c:ext>
          </c:extLst>
        </c:ser>
        <c:ser>
          <c:idx val="3"/>
          <c:order val="1"/>
          <c:spPr>
            <a:ln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Sheet2!$A$217:$A$227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Sheet2!$B$217:$B$227</c:f>
              <c:numCache>
                <c:formatCode>0.0</c:formatCode>
                <c:ptCount val="11"/>
                <c:pt idx="0">
                  <c:v>9.9387096774193555</c:v>
                </c:pt>
                <c:pt idx="1">
                  <c:v>26.06774193548387</c:v>
                </c:pt>
                <c:pt idx="2">
                  <c:v>58.325806451612905</c:v>
                </c:pt>
                <c:pt idx="3">
                  <c:v>90.58387096774193</c:v>
                </c:pt>
                <c:pt idx="4">
                  <c:v>122.84193548387098</c:v>
                </c:pt>
                <c:pt idx="5">
                  <c:v>155.10000000000002</c:v>
                </c:pt>
                <c:pt idx="6">
                  <c:v>187.35806451612905</c:v>
                </c:pt>
                <c:pt idx="7">
                  <c:v>219.61612903225807</c:v>
                </c:pt>
                <c:pt idx="8">
                  <c:v>251.8741935483871</c:v>
                </c:pt>
                <c:pt idx="9">
                  <c:v>284.13225806451612</c:v>
                </c:pt>
                <c:pt idx="10">
                  <c:v>316.39032258064515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4D8-464F-9573-B0E93358A701}"/>
            </c:ext>
          </c:extLst>
        </c:ser>
        <c:ser>
          <c:idx val="8"/>
          <c:order val="2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Sheet2!$A$217:$A$227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Sheet2!$G$217:$G$227</c:f>
              <c:numCache>
                <c:formatCode>General</c:formatCode>
                <c:ptCount val="11"/>
                <c:pt idx="0">
                  <c:v>9.8363837736986497</c:v>
                </c:pt>
                <c:pt idx="1">
                  <c:v>21.942609653155984</c:v>
                </c:pt>
                <c:pt idx="2">
                  <c:v>48.948691863588323</c:v>
                </c:pt>
                <c:pt idx="3">
                  <c:v>78.265960353969717</c:v>
                </c:pt>
                <c:pt idx="4">
                  <c:v>109.19277483532595</c:v>
                </c:pt>
                <c:pt idx="5">
                  <c:v>141.37436024884025</c:v>
                </c:pt>
                <c:pt idx="6">
                  <c:v>174.59255928673295</c:v>
                </c:pt>
                <c:pt idx="7">
                  <c:v>208.69834058920361</c:v>
                </c:pt>
                <c:pt idx="8">
                  <c:v>243.58285425616225</c:v>
                </c:pt>
                <c:pt idx="9">
                  <c:v>279.16280911683293</c:v>
                </c:pt>
                <c:pt idx="10">
                  <c:v>315.37224179882753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D8-464F-9573-B0E93358A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Soaked CBR(%)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Lab 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399925970792114"/>
          <c:y val="5.5973862642169733E-2"/>
          <c:w val="0.75785988289925299"/>
          <c:h val="0.73436625109361331"/>
        </c:manualLayout>
      </c:layout>
      <c:scatterChart>
        <c:scatterStyle val="smoothMarker"/>
        <c:varyColors val="0"/>
        <c:ser>
          <c:idx val="9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Sheet2!$A$231:$A$241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Sheet2!$I$231:$I$241</c:f>
              <c:numCache>
                <c:formatCode>General</c:formatCode>
                <c:ptCount val="11"/>
                <c:pt idx="0">
                  <c:v>11.91</c:v>
                </c:pt>
                <c:pt idx="1">
                  <c:v>13.07</c:v>
                </c:pt>
                <c:pt idx="2">
                  <c:v>15.39</c:v>
                </c:pt>
                <c:pt idx="3">
                  <c:v>17.71</c:v>
                </c:pt>
                <c:pt idx="4">
                  <c:v>20.03</c:v>
                </c:pt>
                <c:pt idx="5">
                  <c:v>22.35</c:v>
                </c:pt>
                <c:pt idx="6">
                  <c:v>24.67</c:v>
                </c:pt>
                <c:pt idx="7">
                  <c:v>26.990000000000002</c:v>
                </c:pt>
                <c:pt idx="8">
                  <c:v>29.310000000000002</c:v>
                </c:pt>
                <c:pt idx="9">
                  <c:v>31.630000000000003</c:v>
                </c:pt>
                <c:pt idx="10">
                  <c:v>33.950000000000003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93-43A7-88BF-44B7BC7952C2}"/>
            </c:ext>
          </c:extLst>
        </c:ser>
        <c:ser>
          <c:idx val="3"/>
          <c:order val="1"/>
          <c:spPr>
            <a:ln>
              <a:solidFill>
                <a:schemeClr val="bg1">
                  <a:lumMod val="50000"/>
                </a:schemeClr>
              </a:solidFill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xVal>
            <c:numRef>
              <c:f>Sheet2!$A$231:$A$241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Sheet2!$B$231:$B$241</c:f>
              <c:numCache>
                <c:formatCode>0.0</c:formatCode>
                <c:ptCount val="11"/>
                <c:pt idx="0">
                  <c:v>11.91</c:v>
                </c:pt>
                <c:pt idx="1">
                  <c:v>13.07</c:v>
                </c:pt>
                <c:pt idx="2">
                  <c:v>15.39</c:v>
                </c:pt>
                <c:pt idx="3">
                  <c:v>17.71</c:v>
                </c:pt>
                <c:pt idx="4">
                  <c:v>20.03</c:v>
                </c:pt>
                <c:pt idx="5">
                  <c:v>22.35</c:v>
                </c:pt>
                <c:pt idx="6">
                  <c:v>24.67</c:v>
                </c:pt>
                <c:pt idx="7">
                  <c:v>26.990000000000002</c:v>
                </c:pt>
                <c:pt idx="8">
                  <c:v>29.310000000000002</c:v>
                </c:pt>
                <c:pt idx="9">
                  <c:v>31.630000000000003</c:v>
                </c:pt>
                <c:pt idx="10">
                  <c:v>33.950000000000003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93-43A7-88BF-44B7BC7952C2}"/>
            </c:ext>
          </c:extLst>
        </c:ser>
        <c:ser>
          <c:idx val="8"/>
          <c:order val="2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Sheet2!$A$231:$A$241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Sheet2!$G$231:$G$241</c:f>
              <c:numCache>
                <c:formatCode>General</c:formatCode>
                <c:ptCount val="11"/>
                <c:pt idx="0">
                  <c:v>8.8462893633923017</c:v>
                </c:pt>
                <c:pt idx="1">
                  <c:v>16.660000000004167</c:v>
                </c:pt>
                <c:pt idx="2">
                  <c:v>31.37536978484102</c:v>
                </c:pt>
                <c:pt idx="3">
                  <c:v>45.436320017773951</c:v>
                </c:pt>
                <c:pt idx="4">
                  <c:v>59.088465134169653</c:v>
                </c:pt>
                <c:pt idx="5">
                  <c:v>72.444463899336753</c:v>
                </c:pt>
                <c:pt idx="6">
                  <c:v>85.569108176450882</c:v>
                </c:pt>
                <c:pt idx="7">
                  <c:v>98.504430336450497</c:v>
                </c:pt>
                <c:pt idx="8">
                  <c:v>111.27985855959153</c:v>
                </c:pt>
                <c:pt idx="9">
                  <c:v>123.9171174524039</c:v>
                </c:pt>
                <c:pt idx="10">
                  <c:v>136.43288377585139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893-43A7-88BF-44B7BC795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Lab CBR(%)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456534784"/>
        <c:crossesAt val="1.0000000000000002E-2"/>
        <c:crossBetween val="midCat"/>
      </c:valAx>
      <c:valAx>
        <c:axId val="1456534784"/>
        <c:scaling>
          <c:logBase val="10"/>
          <c:orientation val="minMax"/>
          <c:max val="1000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In-situ CBR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77587312"/>
        <c:crossesAt val="0.1"/>
        <c:crossBetween val="midCat"/>
      </c:valAx>
      <c:spPr>
        <a:ln>
          <a:solidFill>
            <a:schemeClr val="bg1">
              <a:lumMod val="50000"/>
            </a:schemeClr>
          </a:solidFill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04758059088767"/>
          <c:y val="5.203138670166229E-2"/>
          <c:w val="0.76833703479372772"/>
          <c:h val="0.73825842082239712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Sheet2!$A$245:$A$255</c:f>
              <c:numCache>
                <c:formatCode>General</c:formatCode>
                <c:ptCount val="11"/>
                <c:pt idx="0">
                  <c:v>1.778279410038923</c:v>
                </c:pt>
                <c:pt idx="1">
                  <c:v>3.1622776601683795</c:v>
                </c:pt>
                <c:pt idx="2">
                  <c:v>5.6234132519034921</c:v>
                </c:pt>
                <c:pt idx="3">
                  <c:v>10</c:v>
                </c:pt>
                <c:pt idx="4">
                  <c:v>17.782794100389236</c:v>
                </c:pt>
                <c:pt idx="5">
                  <c:v>31.622776601683803</c:v>
                </c:pt>
                <c:pt idx="6">
                  <c:v>56.234132519034915</c:v>
                </c:pt>
                <c:pt idx="7">
                  <c:v>100</c:v>
                </c:pt>
                <c:pt idx="8">
                  <c:v>177.82794100389242</c:v>
                </c:pt>
                <c:pt idx="9">
                  <c:v>316.22776601683825</c:v>
                </c:pt>
                <c:pt idx="10">
                  <c:v>562.34132519034927</c:v>
                </c:pt>
              </c:numCache>
            </c:numRef>
          </c:xVal>
          <c:yVal>
            <c:numRef>
              <c:f>Sheet2!$I$245:$I$255</c:f>
              <c:numCache>
                <c:formatCode>General</c:formatCode>
                <c:ptCount val="11"/>
                <c:pt idx="0">
                  <c:v>3.6088209854307256</c:v>
                </c:pt>
                <c:pt idx="1">
                  <c:v>6.4174920529078348</c:v>
                </c:pt>
                <c:pt idx="2">
                  <c:v>11.412093981774422</c:v>
                </c:pt>
                <c:pt idx="3">
                  <c:v>20.293891753218556</c:v>
                </c:pt>
                <c:pt idx="4">
                  <c:v>36.088209854307273</c:v>
                </c:pt>
                <c:pt idx="5">
                  <c:v>64.174920529078378</c:v>
                </c:pt>
                <c:pt idx="6">
                  <c:v>114.12093981774423</c:v>
                </c:pt>
                <c:pt idx="7">
                  <c:v>202.93891753218557</c:v>
                </c:pt>
                <c:pt idx="8">
                  <c:v>360.88209854307286</c:v>
                </c:pt>
                <c:pt idx="9">
                  <c:v>641.74920529078406</c:v>
                </c:pt>
                <c:pt idx="10">
                  <c:v>1141.2093981774424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05-4234-8078-8B61FFF3CED7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Sheet2!$A$245:$A$255</c:f>
              <c:numCache>
                <c:formatCode>General</c:formatCode>
                <c:ptCount val="11"/>
                <c:pt idx="0">
                  <c:v>1.778279410038923</c:v>
                </c:pt>
                <c:pt idx="1">
                  <c:v>3.1622776601683795</c:v>
                </c:pt>
                <c:pt idx="2">
                  <c:v>5.6234132519034921</c:v>
                </c:pt>
                <c:pt idx="3">
                  <c:v>10</c:v>
                </c:pt>
                <c:pt idx="4">
                  <c:v>17.782794100389236</c:v>
                </c:pt>
                <c:pt idx="5">
                  <c:v>31.622776601683803</c:v>
                </c:pt>
                <c:pt idx="6">
                  <c:v>56.234132519034915</c:v>
                </c:pt>
                <c:pt idx="7">
                  <c:v>100</c:v>
                </c:pt>
                <c:pt idx="8">
                  <c:v>177.82794100389242</c:v>
                </c:pt>
                <c:pt idx="9">
                  <c:v>316.22776601683825</c:v>
                </c:pt>
                <c:pt idx="10">
                  <c:v>562.34132519034927</c:v>
                </c:pt>
              </c:numCache>
            </c:numRef>
          </c:xVal>
          <c:yVal>
            <c:numRef>
              <c:f>Sheet2!$J$245:$J$255</c:f>
              <c:numCache>
                <c:formatCode>General</c:formatCode>
                <c:ptCount val="11"/>
                <c:pt idx="0">
                  <c:v>0.5263707053715212</c:v>
                </c:pt>
                <c:pt idx="1">
                  <c:v>0.93603418740984035</c:v>
                </c:pt>
                <c:pt idx="2">
                  <c:v>1.6645303225634336</c:v>
                </c:pt>
                <c:pt idx="3">
                  <c:v>2.96</c:v>
                </c:pt>
                <c:pt idx="4">
                  <c:v>5.2637070537152137</c:v>
                </c:pt>
                <c:pt idx="5">
                  <c:v>9.3603418740984061</c:v>
                </c:pt>
                <c:pt idx="6">
                  <c:v>16.645303225634333</c:v>
                </c:pt>
                <c:pt idx="7">
                  <c:v>29.599999999999998</c:v>
                </c:pt>
                <c:pt idx="8">
                  <c:v>52.637070537152155</c:v>
                </c:pt>
                <c:pt idx="9">
                  <c:v>93.603418740984111</c:v>
                </c:pt>
                <c:pt idx="10">
                  <c:v>166.45303225634336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F05-4234-8078-8B61FFF3CED7}"/>
            </c:ext>
          </c:extLst>
        </c:ser>
        <c:ser>
          <c:idx val="3"/>
          <c:order val="2"/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Sheet2!$A$245:$A$255</c:f>
              <c:numCache>
                <c:formatCode>General</c:formatCode>
                <c:ptCount val="11"/>
                <c:pt idx="0">
                  <c:v>1.778279410038923</c:v>
                </c:pt>
                <c:pt idx="1">
                  <c:v>3.1622776601683795</c:v>
                </c:pt>
                <c:pt idx="2">
                  <c:v>5.6234132519034921</c:v>
                </c:pt>
                <c:pt idx="3">
                  <c:v>10</c:v>
                </c:pt>
                <c:pt idx="4">
                  <c:v>17.782794100389236</c:v>
                </c:pt>
                <c:pt idx="5">
                  <c:v>31.622776601683803</c:v>
                </c:pt>
                <c:pt idx="6">
                  <c:v>56.234132519034915</c:v>
                </c:pt>
                <c:pt idx="7">
                  <c:v>100</c:v>
                </c:pt>
                <c:pt idx="8">
                  <c:v>177.82794100389242</c:v>
                </c:pt>
                <c:pt idx="9">
                  <c:v>316.22776601683825</c:v>
                </c:pt>
                <c:pt idx="10">
                  <c:v>562.34132519034927</c:v>
                </c:pt>
              </c:numCache>
            </c:numRef>
          </c:xVal>
          <c:yVal>
            <c:numRef>
              <c:f>Sheet2!$B$245:$B$255</c:f>
              <c:numCache>
                <c:formatCode>0.0</c:formatCode>
                <c:ptCount val="11"/>
                <c:pt idx="0">
                  <c:v>2.6148702244447004</c:v>
                </c:pt>
                <c:pt idx="1">
                  <c:v>4.4776696751760099</c:v>
                </c:pt>
                <c:pt idx="2">
                  <c:v>7.6927801538667673</c:v>
                </c:pt>
                <c:pt idx="3">
                  <c:v>13.257541746469377</c:v>
                </c:pt>
                <c:pt idx="4">
                  <c:v>22.914314397598901</c:v>
                </c:pt>
                <c:pt idx="5">
                  <c:v>39.712668192009851</c:v>
                </c:pt>
                <c:pt idx="6">
                  <c:v>68.999134208632853</c:v>
                </c:pt>
                <c:pt idx="7">
                  <c:v>120.16163170329163</c:v>
                </c:pt>
                <c:pt idx="8">
                  <c:v>209.70708107721777</c:v>
                </c:pt>
                <c:pt idx="9">
                  <c:v>367.67631201588409</c:v>
                </c:pt>
                <c:pt idx="10">
                  <c:v>653.83121521689282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F05-4234-8078-8B61FFF3CED7}"/>
            </c:ext>
          </c:extLst>
        </c:ser>
        <c:ser>
          <c:idx val="4"/>
          <c:order val="3"/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Sheet2!$A$245:$A$255</c:f>
              <c:numCache>
                <c:formatCode>General</c:formatCode>
                <c:ptCount val="11"/>
                <c:pt idx="0">
                  <c:v>1.778279410038923</c:v>
                </c:pt>
                <c:pt idx="1">
                  <c:v>3.1622776601683795</c:v>
                </c:pt>
                <c:pt idx="2">
                  <c:v>5.6234132519034921</c:v>
                </c:pt>
                <c:pt idx="3">
                  <c:v>10</c:v>
                </c:pt>
                <c:pt idx="4">
                  <c:v>17.782794100389236</c:v>
                </c:pt>
                <c:pt idx="5">
                  <c:v>31.622776601683803</c:v>
                </c:pt>
                <c:pt idx="6">
                  <c:v>56.234132519034915</c:v>
                </c:pt>
                <c:pt idx="7">
                  <c:v>100</c:v>
                </c:pt>
                <c:pt idx="8">
                  <c:v>177.82794100389242</c:v>
                </c:pt>
                <c:pt idx="9">
                  <c:v>316.22776601683825</c:v>
                </c:pt>
                <c:pt idx="10">
                  <c:v>562.34132519034927</c:v>
                </c:pt>
              </c:numCache>
            </c:numRef>
          </c:xVal>
          <c:yVal>
            <c:numRef>
              <c:f>Sheet2!$G$245:$G$255</c:f>
              <c:numCache>
                <c:formatCode>General</c:formatCode>
                <c:ptCount val="11"/>
                <c:pt idx="0">
                  <c:v>1.6223748340262434</c:v>
                </c:pt>
                <c:pt idx="1">
                  <c:v>2.8645800574107816</c:v>
                </c:pt>
                <c:pt idx="2">
                  <c:v>5.0579056906049287</c:v>
                </c:pt>
                <c:pt idx="3">
                  <c:v>8.9305969679119208</c:v>
                </c:pt>
                <c:pt idx="4">
                  <c:v>15.768495318412883</c:v>
                </c:pt>
                <c:pt idx="5">
                  <c:v>27.841973554534423</c:v>
                </c:pt>
                <c:pt idx="6">
                  <c:v>49.159762917024864</c:v>
                </c:pt>
                <c:pt idx="7">
                  <c:v>86.799963563089619</c:v>
                </c:pt>
                <c:pt idx="8">
                  <c:v>153.2601710726407</c:v>
                </c:pt>
                <c:pt idx="9">
                  <c:v>270.60702646657938</c:v>
                </c:pt>
                <c:pt idx="10">
                  <c:v>477.80295598375551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F05-4234-8078-8B61FFF3CED7}"/>
            </c:ext>
          </c:extLst>
        </c:ser>
        <c:ser>
          <c:idx val="5"/>
          <c:order val="4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Sheet2!$A$245:$A$255</c:f>
              <c:numCache>
                <c:formatCode>General</c:formatCode>
                <c:ptCount val="11"/>
                <c:pt idx="0">
                  <c:v>1.778279410038923</c:v>
                </c:pt>
                <c:pt idx="1">
                  <c:v>3.1622776601683795</c:v>
                </c:pt>
                <c:pt idx="2">
                  <c:v>5.6234132519034921</c:v>
                </c:pt>
                <c:pt idx="3">
                  <c:v>10</c:v>
                </c:pt>
                <c:pt idx="4">
                  <c:v>17.782794100389236</c:v>
                </c:pt>
                <c:pt idx="5">
                  <c:v>31.622776601683803</c:v>
                </c:pt>
                <c:pt idx="6">
                  <c:v>56.234132519034915</c:v>
                </c:pt>
                <c:pt idx="7">
                  <c:v>100</c:v>
                </c:pt>
                <c:pt idx="8">
                  <c:v>177.82794100389242</c:v>
                </c:pt>
                <c:pt idx="9">
                  <c:v>316.22776601683825</c:v>
                </c:pt>
                <c:pt idx="10">
                  <c:v>562.34132519034927</c:v>
                </c:pt>
              </c:numCache>
            </c:numRef>
          </c:xVal>
          <c:yVal>
            <c:numRef>
              <c:f>Sheet2!$K$245:$K$255</c:f>
              <c:numCache>
                <c:formatCode>General</c:formatCode>
                <c:ptCount val="11"/>
                <c:pt idx="0">
                  <c:v>4.0011286725875763</c:v>
                </c:pt>
                <c:pt idx="1">
                  <c:v>7.1151247353788536</c:v>
                </c:pt>
                <c:pt idx="2">
                  <c:v>12.652679816782857</c:v>
                </c:pt>
                <c:pt idx="3">
                  <c:v>22.5</c:v>
                </c:pt>
                <c:pt idx="4">
                  <c:v>40.011286725875777</c:v>
                </c:pt>
                <c:pt idx="5">
                  <c:v>71.151247353788563</c:v>
                </c:pt>
                <c:pt idx="6">
                  <c:v>126.52679816782856</c:v>
                </c:pt>
                <c:pt idx="7">
                  <c:v>225</c:v>
                </c:pt>
                <c:pt idx="8">
                  <c:v>400.11286725875794</c:v>
                </c:pt>
                <c:pt idx="9">
                  <c:v>711.51247353788608</c:v>
                </c:pt>
                <c:pt idx="10">
                  <c:v>1265.2679816782859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F05-4234-8078-8B61FFF3CED7}"/>
            </c:ext>
          </c:extLst>
        </c:ser>
        <c:ser>
          <c:idx val="6"/>
          <c:order val="5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Sheet2!$A$245:$A$255</c:f>
              <c:numCache>
                <c:formatCode>General</c:formatCode>
                <c:ptCount val="11"/>
                <c:pt idx="0">
                  <c:v>1.778279410038923</c:v>
                </c:pt>
                <c:pt idx="1">
                  <c:v>3.1622776601683795</c:v>
                </c:pt>
                <c:pt idx="2">
                  <c:v>5.6234132519034921</c:v>
                </c:pt>
                <c:pt idx="3">
                  <c:v>10</c:v>
                </c:pt>
                <c:pt idx="4">
                  <c:v>17.782794100389236</c:v>
                </c:pt>
                <c:pt idx="5">
                  <c:v>31.622776601683803</c:v>
                </c:pt>
                <c:pt idx="6">
                  <c:v>56.234132519034915</c:v>
                </c:pt>
                <c:pt idx="7">
                  <c:v>100</c:v>
                </c:pt>
                <c:pt idx="8">
                  <c:v>177.82794100389242</c:v>
                </c:pt>
                <c:pt idx="9">
                  <c:v>316.22776601683825</c:v>
                </c:pt>
                <c:pt idx="10">
                  <c:v>562.34132519034927</c:v>
                </c:pt>
              </c:numCache>
            </c:numRef>
          </c:xVal>
          <c:yVal>
            <c:numRef>
              <c:f>Sheet2!$L$245:$L$255</c:f>
              <c:numCache>
                <c:formatCode>General</c:formatCode>
                <c:ptCount val="11"/>
                <c:pt idx="0">
                  <c:v>1.6209194634586754</c:v>
                </c:pt>
                <c:pt idx="1">
                  <c:v>2.5378472974441859</c:v>
                </c:pt>
                <c:pt idx="2">
                  <c:v>3.9734663259591128</c:v>
                </c:pt>
                <c:pt idx="3">
                  <c:v>6.2211917397201972</c:v>
                </c:pt>
                <c:pt idx="4">
                  <c:v>9.7404189408905264</c:v>
                </c:pt>
                <c:pt idx="5">
                  <c:v>15.250415854941329</c:v>
                </c:pt>
                <c:pt idx="6">
                  <c:v>23.877328599521455</c:v>
                </c:pt>
                <c:pt idx="7">
                  <c:v>37.38434587439771</c:v>
                </c:pt>
                <c:pt idx="8">
                  <c:v>58.532063611362631</c:v>
                </c:pt>
                <c:pt idx="9">
                  <c:v>91.642702058105698</c:v>
                </c:pt>
                <c:pt idx="10">
                  <c:v>143.48349130954551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F05-4234-8078-8B61FFF3C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587312"/>
        <c:axId val="1456534784"/>
      </c:scatterChart>
      <c:valAx>
        <c:axId val="1977587312"/>
        <c:scaling>
          <c:logBase val="10"/>
          <c:orientation val="minMax"/>
          <c:max val="1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</a:t>
                </a:r>
                <a:r>
                  <a:rPr lang="en-US" b="1" baseline="-25000"/>
                  <a:t>R</a:t>
                </a:r>
                <a:r>
                  <a:rPr lang="en-US" b="1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534784"/>
        <c:crosses val="autoZero"/>
        <c:crossBetween val="midCat"/>
        <c:majorUnit val="10"/>
      </c:valAx>
      <c:valAx>
        <c:axId val="1456534784"/>
        <c:scaling>
          <c:logBase val="10"/>
          <c:orientation val="minMax"/>
          <c:max val="1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/>
                  <a:t>k</a:t>
                </a:r>
                <a:r>
                  <a:rPr lang="en-US" b="1"/>
                  <a:t>-value (kPa/mm)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87312"/>
        <c:crosses val="autoZero"/>
        <c:crossBetween val="midCat"/>
        <c:majorUnit val="10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6.8569116360454943E-2"/>
                  <c:y val="5.83511956838728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1.9723753280839897E-2"/>
                  <c:y val="0.1801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Sheet3!$L$6:$L$24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Sheet3!$M$6:$M$24</c:f>
              <c:numCache>
                <c:formatCode>General</c:formatCode>
                <c:ptCount val="19"/>
                <c:pt idx="0">
                  <c:v>47000</c:v>
                </c:pt>
                <c:pt idx="1">
                  <c:v>40000</c:v>
                </c:pt>
                <c:pt idx="2">
                  <c:v>34000</c:v>
                </c:pt>
                <c:pt idx="3">
                  <c:v>28000</c:v>
                </c:pt>
                <c:pt idx="4">
                  <c:v>27500</c:v>
                </c:pt>
                <c:pt idx="5">
                  <c:v>20000</c:v>
                </c:pt>
                <c:pt idx="6">
                  <c:v>17000</c:v>
                </c:pt>
                <c:pt idx="7">
                  <c:v>14400</c:v>
                </c:pt>
                <c:pt idx="8">
                  <c:v>12200</c:v>
                </c:pt>
                <c:pt idx="9">
                  <c:v>10100</c:v>
                </c:pt>
                <c:pt idx="10">
                  <c:v>8800</c:v>
                </c:pt>
                <c:pt idx="11">
                  <c:v>7400</c:v>
                </c:pt>
                <c:pt idx="12">
                  <c:v>6000</c:v>
                </c:pt>
                <c:pt idx="13">
                  <c:v>5000</c:v>
                </c:pt>
                <c:pt idx="14">
                  <c:v>4600</c:v>
                </c:pt>
                <c:pt idx="15">
                  <c:v>3600</c:v>
                </c:pt>
                <c:pt idx="16">
                  <c:v>3100</c:v>
                </c:pt>
                <c:pt idx="17">
                  <c:v>2550</c:v>
                </c:pt>
                <c:pt idx="18">
                  <c:v>2150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4-44FB-9C9A-2D02B5ED9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989232"/>
        <c:axId val="2125410528"/>
      </c:scatterChart>
      <c:valAx>
        <c:axId val="212098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10528"/>
        <c:crosses val="autoZero"/>
        <c:crossBetween val="midCat"/>
      </c:valAx>
      <c:valAx>
        <c:axId val="2125410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8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360968767792913"/>
          <c:y val="0.19546772068511198"/>
          <c:w val="0.59580830174006028"/>
          <c:h val="0.6822752689510649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6.8569116360454943E-2"/>
                  <c:y val="5.83511956838728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1.9723753280839897E-2"/>
                  <c:y val="0.180138888888888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Sheet3!$N$6:$N$24</c:f>
              <c:numCache>
                <c:formatCode>General</c:formatCode>
                <c:ptCount val="19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  <c:pt idx="18">
                  <c:v>0</c:v>
                </c:pt>
              </c:numCache>
            </c:numRef>
          </c:xVal>
          <c:yVal>
            <c:numRef>
              <c:f>Sheet3!$O$6:$O$24</c:f>
              <c:numCache>
                <c:formatCode>General</c:formatCode>
                <c:ptCount val="19"/>
                <c:pt idx="0">
                  <c:v>47500</c:v>
                </c:pt>
                <c:pt idx="1">
                  <c:v>41000</c:v>
                </c:pt>
                <c:pt idx="2">
                  <c:v>35800</c:v>
                </c:pt>
                <c:pt idx="3">
                  <c:v>29100</c:v>
                </c:pt>
                <c:pt idx="4">
                  <c:v>25000</c:v>
                </c:pt>
                <c:pt idx="5">
                  <c:v>21200</c:v>
                </c:pt>
                <c:pt idx="6">
                  <c:v>18000</c:v>
                </c:pt>
                <c:pt idx="7">
                  <c:v>15500</c:v>
                </c:pt>
                <c:pt idx="8">
                  <c:v>13400</c:v>
                </c:pt>
                <c:pt idx="9">
                  <c:v>11500</c:v>
                </c:pt>
                <c:pt idx="10">
                  <c:v>9600</c:v>
                </c:pt>
                <c:pt idx="11">
                  <c:v>8200</c:v>
                </c:pt>
                <c:pt idx="12">
                  <c:v>6800</c:v>
                </c:pt>
                <c:pt idx="13">
                  <c:v>4750</c:v>
                </c:pt>
                <c:pt idx="14">
                  <c:v>4900</c:v>
                </c:pt>
                <c:pt idx="15">
                  <c:v>4200</c:v>
                </c:pt>
                <c:pt idx="16">
                  <c:v>3600</c:v>
                </c:pt>
                <c:pt idx="17">
                  <c:v>3000</c:v>
                </c:pt>
                <c:pt idx="18">
                  <c:v>2580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0A-4CEF-81BE-D35739FF4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989232"/>
        <c:axId val="2125410528"/>
      </c:scatterChart>
      <c:valAx>
        <c:axId val="212098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10528"/>
        <c:crosses val="autoZero"/>
        <c:crossBetween val="midCat"/>
      </c:valAx>
      <c:valAx>
        <c:axId val="2125410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8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360968767792913"/>
          <c:y val="0.19546772068511198"/>
          <c:w val="0.59580830174006028"/>
          <c:h val="0.6822752689510649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Sheet3!$P$6:$P$42</c:f>
              <c:numCache>
                <c:formatCode>General</c:formatCode>
                <c:ptCount val="37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9.5</c:v>
                </c:pt>
                <c:pt idx="20">
                  <c:v>9</c:v>
                </c:pt>
                <c:pt idx="21">
                  <c:v>8.5</c:v>
                </c:pt>
                <c:pt idx="22">
                  <c:v>8</c:v>
                </c:pt>
                <c:pt idx="23">
                  <c:v>7.5</c:v>
                </c:pt>
                <c:pt idx="24">
                  <c:v>7</c:v>
                </c:pt>
                <c:pt idx="25">
                  <c:v>6.5</c:v>
                </c:pt>
                <c:pt idx="26">
                  <c:v>6</c:v>
                </c:pt>
                <c:pt idx="27">
                  <c:v>5.5</c:v>
                </c:pt>
                <c:pt idx="28">
                  <c:v>5</c:v>
                </c:pt>
                <c:pt idx="29">
                  <c:v>4.5</c:v>
                </c:pt>
                <c:pt idx="30">
                  <c:v>4</c:v>
                </c:pt>
                <c:pt idx="31">
                  <c:v>3.5</c:v>
                </c:pt>
                <c:pt idx="32">
                  <c:v>3</c:v>
                </c:pt>
                <c:pt idx="33">
                  <c:v>2.5</c:v>
                </c:pt>
                <c:pt idx="34">
                  <c:v>2</c:v>
                </c:pt>
                <c:pt idx="35">
                  <c:v>1.5</c:v>
                </c:pt>
                <c:pt idx="36">
                  <c:v>1</c:v>
                </c:pt>
              </c:numCache>
            </c:numRef>
          </c:xVal>
          <c:yVal>
            <c:numRef>
              <c:f>Sheet3!$Q$6:$Q$42</c:f>
              <c:numCache>
                <c:formatCode>General</c:formatCode>
                <c:ptCount val="37"/>
                <c:pt idx="0">
                  <c:v>44000</c:v>
                </c:pt>
                <c:pt idx="1">
                  <c:v>42500</c:v>
                </c:pt>
                <c:pt idx="2">
                  <c:v>41000</c:v>
                </c:pt>
                <c:pt idx="3">
                  <c:v>40000</c:v>
                </c:pt>
                <c:pt idx="4">
                  <c:v>39000</c:v>
                </c:pt>
                <c:pt idx="5">
                  <c:v>37000</c:v>
                </c:pt>
                <c:pt idx="6">
                  <c:v>36000</c:v>
                </c:pt>
                <c:pt idx="7">
                  <c:v>33800</c:v>
                </c:pt>
                <c:pt idx="8">
                  <c:v>31200</c:v>
                </c:pt>
                <c:pt idx="9">
                  <c:v>29200</c:v>
                </c:pt>
                <c:pt idx="10">
                  <c:v>27900</c:v>
                </c:pt>
                <c:pt idx="11">
                  <c:v>25400</c:v>
                </c:pt>
                <c:pt idx="12">
                  <c:v>23900</c:v>
                </c:pt>
                <c:pt idx="13">
                  <c:v>21500</c:v>
                </c:pt>
                <c:pt idx="14">
                  <c:v>19800</c:v>
                </c:pt>
                <c:pt idx="15">
                  <c:v>17000</c:v>
                </c:pt>
                <c:pt idx="16">
                  <c:v>15000</c:v>
                </c:pt>
                <c:pt idx="17">
                  <c:v>12000</c:v>
                </c:pt>
                <c:pt idx="18">
                  <c:v>9600</c:v>
                </c:pt>
                <c:pt idx="19">
                  <c:v>9200</c:v>
                </c:pt>
                <c:pt idx="20">
                  <c:v>9000</c:v>
                </c:pt>
                <c:pt idx="21">
                  <c:v>8600</c:v>
                </c:pt>
                <c:pt idx="22">
                  <c:v>8200</c:v>
                </c:pt>
                <c:pt idx="23">
                  <c:v>7800</c:v>
                </c:pt>
                <c:pt idx="24">
                  <c:v>7450</c:v>
                </c:pt>
                <c:pt idx="25">
                  <c:v>7000</c:v>
                </c:pt>
                <c:pt idx="26">
                  <c:v>6600</c:v>
                </c:pt>
                <c:pt idx="27">
                  <c:v>6200</c:v>
                </c:pt>
                <c:pt idx="28">
                  <c:v>5800</c:v>
                </c:pt>
                <c:pt idx="29">
                  <c:v>5200</c:v>
                </c:pt>
                <c:pt idx="30">
                  <c:v>4900</c:v>
                </c:pt>
                <c:pt idx="31">
                  <c:v>4500</c:v>
                </c:pt>
                <c:pt idx="32">
                  <c:v>4100</c:v>
                </c:pt>
                <c:pt idx="33">
                  <c:v>3500</c:v>
                </c:pt>
                <c:pt idx="34">
                  <c:v>3050</c:v>
                </c:pt>
                <c:pt idx="35">
                  <c:v>2400</c:v>
                </c:pt>
                <c:pt idx="36">
                  <c:v>1890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33-4BE8-9974-CFA8B6DBD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989232"/>
        <c:axId val="2125410528"/>
      </c:scatterChart>
      <c:valAx>
        <c:axId val="21209892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10528"/>
        <c:crosses val="autoZero"/>
        <c:crossBetween val="midCat"/>
      </c:valAx>
      <c:valAx>
        <c:axId val="2125410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989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39666880215568"/>
                  <c:y val="0.237762237762237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Sheet3!$R$6:$R$42</c:f>
              <c:numCache>
                <c:formatCode>General</c:formatCode>
                <c:ptCount val="37"/>
                <c:pt idx="0">
                  <c:v>2</c:v>
                </c:pt>
                <c:pt idx="1">
                  <c:v>1.9777236052888478</c:v>
                </c:pt>
                <c:pt idx="2">
                  <c:v>1.954242509439325</c:v>
                </c:pt>
                <c:pt idx="3">
                  <c:v>1.9294189257142926</c:v>
                </c:pt>
                <c:pt idx="4">
                  <c:v>1.9030899869919435</c:v>
                </c:pt>
                <c:pt idx="5">
                  <c:v>1.8750612633917001</c:v>
                </c:pt>
                <c:pt idx="6">
                  <c:v>1.8450980400142569</c:v>
                </c:pt>
                <c:pt idx="7">
                  <c:v>1.8129133566428555</c:v>
                </c:pt>
                <c:pt idx="8">
                  <c:v>1.7781512503836436</c:v>
                </c:pt>
                <c:pt idx="9">
                  <c:v>1.7403626894942439</c:v>
                </c:pt>
                <c:pt idx="10">
                  <c:v>1.6989700043360187</c:v>
                </c:pt>
                <c:pt idx="11">
                  <c:v>1.6532125137753437</c:v>
                </c:pt>
                <c:pt idx="12">
                  <c:v>1.6020599913279623</c:v>
                </c:pt>
                <c:pt idx="13">
                  <c:v>1.5440680443502757</c:v>
                </c:pt>
                <c:pt idx="14">
                  <c:v>1.4771212547196624</c:v>
                </c:pt>
                <c:pt idx="15">
                  <c:v>1.3979400086720377</c:v>
                </c:pt>
                <c:pt idx="16">
                  <c:v>1.3010299956639813</c:v>
                </c:pt>
                <c:pt idx="17">
                  <c:v>1.1760912590556813</c:v>
                </c:pt>
                <c:pt idx="18">
                  <c:v>1</c:v>
                </c:pt>
                <c:pt idx="19">
                  <c:v>0.97772360528884772</c:v>
                </c:pt>
                <c:pt idx="20">
                  <c:v>0.95424250943932487</c:v>
                </c:pt>
                <c:pt idx="21">
                  <c:v>0.92941892571429274</c:v>
                </c:pt>
                <c:pt idx="22">
                  <c:v>0.90308998699194354</c:v>
                </c:pt>
                <c:pt idx="23">
                  <c:v>0.87506126339170009</c:v>
                </c:pt>
                <c:pt idx="24">
                  <c:v>0.84509804001425681</c:v>
                </c:pt>
                <c:pt idx="25">
                  <c:v>0.81291335664285558</c:v>
                </c:pt>
                <c:pt idx="26">
                  <c:v>0.77815125038364363</c:v>
                </c:pt>
                <c:pt idx="27">
                  <c:v>0.74036268949424389</c:v>
                </c:pt>
                <c:pt idx="28">
                  <c:v>0.69897000433601886</c:v>
                </c:pt>
                <c:pt idx="29">
                  <c:v>0.65321251377534373</c:v>
                </c:pt>
                <c:pt idx="30">
                  <c:v>0.6020599913279624</c:v>
                </c:pt>
                <c:pt idx="31">
                  <c:v>0.54406804435027567</c:v>
                </c:pt>
                <c:pt idx="32">
                  <c:v>0.47712125471966244</c:v>
                </c:pt>
                <c:pt idx="33">
                  <c:v>0.3979400086720376</c:v>
                </c:pt>
                <c:pt idx="34">
                  <c:v>0.3010299956639812</c:v>
                </c:pt>
                <c:pt idx="35">
                  <c:v>0.17609125905568124</c:v>
                </c:pt>
                <c:pt idx="36">
                  <c:v>0</c:v>
                </c:pt>
              </c:numCache>
            </c:numRef>
          </c:xVal>
          <c:yVal>
            <c:numRef>
              <c:f>Sheet3!$S$6:$S$42</c:f>
              <c:numCache>
                <c:formatCode>General</c:formatCode>
                <c:ptCount val="37"/>
                <c:pt idx="0">
                  <c:v>4.6434526764861879</c:v>
                </c:pt>
                <c:pt idx="1">
                  <c:v>4.6283889300503116</c:v>
                </c:pt>
                <c:pt idx="2">
                  <c:v>4.6127838567197355</c:v>
                </c:pt>
                <c:pt idx="3">
                  <c:v>4.6020599913279625</c:v>
                </c:pt>
                <c:pt idx="4">
                  <c:v>4.5910646070264995</c:v>
                </c:pt>
                <c:pt idx="5">
                  <c:v>4.568201724066995</c:v>
                </c:pt>
                <c:pt idx="6">
                  <c:v>4.5563025007672868</c:v>
                </c:pt>
                <c:pt idx="7">
                  <c:v>4.5289167002776551</c:v>
                </c:pt>
                <c:pt idx="8">
                  <c:v>4.4941545940184424</c:v>
                </c:pt>
                <c:pt idx="9">
                  <c:v>4.4653828514484184</c:v>
                </c:pt>
                <c:pt idx="10">
                  <c:v>4.4456042032735974</c:v>
                </c:pt>
                <c:pt idx="11">
                  <c:v>4.4048337166199385</c:v>
                </c:pt>
                <c:pt idx="12">
                  <c:v>4.378397900948138</c:v>
                </c:pt>
                <c:pt idx="13">
                  <c:v>4.3324384599156049</c:v>
                </c:pt>
                <c:pt idx="14">
                  <c:v>4.2966651902615309</c:v>
                </c:pt>
                <c:pt idx="15">
                  <c:v>4.2304489213782741</c:v>
                </c:pt>
                <c:pt idx="16">
                  <c:v>4.1760912590556813</c:v>
                </c:pt>
                <c:pt idx="17">
                  <c:v>4.0791812460476251</c:v>
                </c:pt>
                <c:pt idx="18">
                  <c:v>3.9822712330395684</c:v>
                </c:pt>
                <c:pt idx="19">
                  <c:v>3.9637878273455551</c:v>
                </c:pt>
                <c:pt idx="20">
                  <c:v>3.9542425094393248</c:v>
                </c:pt>
                <c:pt idx="21">
                  <c:v>3.9344984512435679</c:v>
                </c:pt>
                <c:pt idx="22">
                  <c:v>3.9138138523837167</c:v>
                </c:pt>
                <c:pt idx="23">
                  <c:v>3.8920946026904804</c:v>
                </c:pt>
                <c:pt idx="24">
                  <c:v>3.8721562727482928</c:v>
                </c:pt>
                <c:pt idx="25">
                  <c:v>3.8450980400142569</c:v>
                </c:pt>
                <c:pt idx="26">
                  <c:v>3.8195439355418688</c:v>
                </c:pt>
                <c:pt idx="27">
                  <c:v>3.7923916894982539</c:v>
                </c:pt>
                <c:pt idx="28">
                  <c:v>3.7634279935629373</c:v>
                </c:pt>
                <c:pt idx="29">
                  <c:v>3.716003343634799</c:v>
                </c:pt>
                <c:pt idx="30">
                  <c:v>3.6901960800285138</c:v>
                </c:pt>
                <c:pt idx="31">
                  <c:v>3.6532125137753435</c:v>
                </c:pt>
                <c:pt idx="32">
                  <c:v>3.6127838567197355</c:v>
                </c:pt>
                <c:pt idx="33">
                  <c:v>3.5440680443502757</c:v>
                </c:pt>
                <c:pt idx="34">
                  <c:v>3.4842998393467859</c:v>
                </c:pt>
                <c:pt idx="35">
                  <c:v>3.3802112417116059</c:v>
                </c:pt>
                <c:pt idx="36">
                  <c:v>3.2764618041732443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1-4A73-8D96-DF33FA0BE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063200"/>
        <c:axId val="2125459440"/>
      </c:scatterChart>
      <c:valAx>
        <c:axId val="209306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59440"/>
        <c:crosses val="autoZero"/>
        <c:crossBetween val="midCat"/>
      </c:valAx>
      <c:valAx>
        <c:axId val="212545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06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7222331583552056"/>
                  <c:y val="-0.265975503062117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Sheet6!$F$1:$F$39</c:f>
              <c:numCache>
                <c:formatCode>General</c:formatCode>
                <c:ptCount val="39"/>
                <c:pt idx="0">
                  <c:v>1.6</c:v>
                </c:pt>
                <c:pt idx="1">
                  <c:v>1.5</c:v>
                </c:pt>
                <c:pt idx="2">
                  <c:v>1.35</c:v>
                </c:pt>
                <c:pt idx="3">
                  <c:v>2.7</c:v>
                </c:pt>
                <c:pt idx="4">
                  <c:v>2.2200000000000002</c:v>
                </c:pt>
                <c:pt idx="5">
                  <c:v>1.3</c:v>
                </c:pt>
                <c:pt idx="6">
                  <c:v>5.21</c:v>
                </c:pt>
                <c:pt idx="7">
                  <c:v>4.46</c:v>
                </c:pt>
                <c:pt idx="8">
                  <c:v>4.3099999999999996</c:v>
                </c:pt>
                <c:pt idx="9">
                  <c:v>3.93</c:v>
                </c:pt>
                <c:pt idx="10">
                  <c:v>4.5999999999999996</c:v>
                </c:pt>
                <c:pt idx="11">
                  <c:v>5.75</c:v>
                </c:pt>
                <c:pt idx="12">
                  <c:v>12.7</c:v>
                </c:pt>
                <c:pt idx="13">
                  <c:v>11.7</c:v>
                </c:pt>
                <c:pt idx="14">
                  <c:v>1.49</c:v>
                </c:pt>
                <c:pt idx="15">
                  <c:v>1.98</c:v>
                </c:pt>
                <c:pt idx="16">
                  <c:v>2.34</c:v>
                </c:pt>
                <c:pt idx="17">
                  <c:v>2.16</c:v>
                </c:pt>
                <c:pt idx="18">
                  <c:v>4.1900000000000004</c:v>
                </c:pt>
                <c:pt idx="19">
                  <c:v>4.32</c:v>
                </c:pt>
                <c:pt idx="20">
                  <c:v>3.65</c:v>
                </c:pt>
                <c:pt idx="21">
                  <c:v>3.42</c:v>
                </c:pt>
                <c:pt idx="22">
                  <c:v>4.3600000000000003</c:v>
                </c:pt>
                <c:pt idx="23">
                  <c:v>3.62</c:v>
                </c:pt>
                <c:pt idx="24">
                  <c:v>4.2699999999999996</c:v>
                </c:pt>
                <c:pt idx="25">
                  <c:v>3.46</c:v>
                </c:pt>
                <c:pt idx="26">
                  <c:v>8.16</c:v>
                </c:pt>
                <c:pt idx="27">
                  <c:v>8.91</c:v>
                </c:pt>
                <c:pt idx="28">
                  <c:v>3.46</c:v>
                </c:pt>
                <c:pt idx="29">
                  <c:v>4.24</c:v>
                </c:pt>
                <c:pt idx="30">
                  <c:v>4.49</c:v>
                </c:pt>
                <c:pt idx="31">
                  <c:v>4.53</c:v>
                </c:pt>
                <c:pt idx="32">
                  <c:v>4.09</c:v>
                </c:pt>
                <c:pt idx="33">
                  <c:v>3.94</c:v>
                </c:pt>
                <c:pt idx="34">
                  <c:v>5.0999999999999996</c:v>
                </c:pt>
                <c:pt idx="35">
                  <c:v>6.18</c:v>
                </c:pt>
                <c:pt idx="36">
                  <c:v>6.29</c:v>
                </c:pt>
                <c:pt idx="37">
                  <c:v>4.46</c:v>
                </c:pt>
                <c:pt idx="38">
                  <c:v>6.14</c:v>
                </c:pt>
              </c:numCache>
            </c:numRef>
          </c:xVal>
          <c:yVal>
            <c:numRef>
              <c:f>Sheet6!$E$1:$E$39</c:f>
              <c:numCache>
                <c:formatCode>General</c:formatCode>
                <c:ptCount val="39"/>
                <c:pt idx="0">
                  <c:v>97.4</c:v>
                </c:pt>
                <c:pt idx="1">
                  <c:v>91.9</c:v>
                </c:pt>
                <c:pt idx="2">
                  <c:v>87.2</c:v>
                </c:pt>
                <c:pt idx="3">
                  <c:v>82</c:v>
                </c:pt>
                <c:pt idx="4">
                  <c:v>79.900000000000006</c:v>
                </c:pt>
                <c:pt idx="5">
                  <c:v>77.900000000000006</c:v>
                </c:pt>
                <c:pt idx="6">
                  <c:v>51.8</c:v>
                </c:pt>
                <c:pt idx="7">
                  <c:v>51.6</c:v>
                </c:pt>
                <c:pt idx="8">
                  <c:v>47.5</c:v>
                </c:pt>
                <c:pt idx="9">
                  <c:v>38.799999999999997</c:v>
                </c:pt>
                <c:pt idx="10">
                  <c:v>28.8</c:v>
                </c:pt>
                <c:pt idx="11">
                  <c:v>27.7</c:v>
                </c:pt>
                <c:pt idx="12">
                  <c:v>20.5</c:v>
                </c:pt>
                <c:pt idx="13">
                  <c:v>18.899999999999999</c:v>
                </c:pt>
                <c:pt idx="14">
                  <c:v>85.2</c:v>
                </c:pt>
                <c:pt idx="15">
                  <c:v>82.2</c:v>
                </c:pt>
                <c:pt idx="16">
                  <c:v>81.8</c:v>
                </c:pt>
                <c:pt idx="17">
                  <c:v>80.7</c:v>
                </c:pt>
                <c:pt idx="18">
                  <c:v>51.2</c:v>
                </c:pt>
                <c:pt idx="19">
                  <c:v>49</c:v>
                </c:pt>
                <c:pt idx="20">
                  <c:v>45.5</c:v>
                </c:pt>
                <c:pt idx="21">
                  <c:v>42.5</c:v>
                </c:pt>
                <c:pt idx="22">
                  <c:v>41.8</c:v>
                </c:pt>
                <c:pt idx="23">
                  <c:v>40.5</c:v>
                </c:pt>
                <c:pt idx="24">
                  <c:v>39.700000000000003</c:v>
                </c:pt>
                <c:pt idx="25">
                  <c:v>35.799999999999997</c:v>
                </c:pt>
                <c:pt idx="26">
                  <c:v>21.9</c:v>
                </c:pt>
                <c:pt idx="27">
                  <c:v>19.5</c:v>
                </c:pt>
                <c:pt idx="28">
                  <c:v>23.9</c:v>
                </c:pt>
                <c:pt idx="29">
                  <c:v>21.5</c:v>
                </c:pt>
                <c:pt idx="30">
                  <c:v>21</c:v>
                </c:pt>
                <c:pt idx="31">
                  <c:v>19.100000000000001</c:v>
                </c:pt>
                <c:pt idx="32">
                  <c:v>18.899999999999999</c:v>
                </c:pt>
                <c:pt idx="33">
                  <c:v>18.2</c:v>
                </c:pt>
                <c:pt idx="34">
                  <c:v>17.5</c:v>
                </c:pt>
                <c:pt idx="35">
                  <c:v>16.3</c:v>
                </c:pt>
                <c:pt idx="36">
                  <c:v>16.100000000000001</c:v>
                </c:pt>
                <c:pt idx="37">
                  <c:v>32.1</c:v>
                </c:pt>
                <c:pt idx="38">
                  <c:v>28.27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9-4A13-B8FB-858D49D7B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8915535"/>
        <c:axId val="1011108927"/>
      </c:scatterChart>
      <c:valAx>
        <c:axId val="101891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08927"/>
        <c:crosses val="autoZero"/>
        <c:crossBetween val="midCat"/>
      </c:valAx>
      <c:valAx>
        <c:axId val="10111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91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Sheet6!$R$3:$R$17</c:f>
              <c:numCache>
                <c:formatCode>General</c:formatCode>
                <c:ptCount val="15"/>
                <c:pt idx="0">
                  <c:v>7.145268369528524</c:v>
                </c:pt>
                <c:pt idx="1">
                  <c:v>17.470252424513376</c:v>
                </c:pt>
                <c:pt idx="2">
                  <c:v>5.8688971556644098</c:v>
                </c:pt>
                <c:pt idx="3">
                  <c:v>6.617512961467316</c:v>
                </c:pt>
                <c:pt idx="4">
                  <c:v>3.4835081944730164</c:v>
                </c:pt>
                <c:pt idx="5">
                  <c:v>2.5886141741913127</c:v>
                </c:pt>
                <c:pt idx="6">
                  <c:v>3.1471087487145173</c:v>
                </c:pt>
                <c:pt idx="7">
                  <c:v>14.910478426768417</c:v>
                </c:pt>
                <c:pt idx="8">
                  <c:v>24.338827136834034</c:v>
                </c:pt>
                <c:pt idx="9">
                  <c:v>5.4655391302476701</c:v>
                </c:pt>
                <c:pt idx="10">
                  <c:v>5.0718849840255587</c:v>
                </c:pt>
                <c:pt idx="11">
                  <c:v>5.4515796703296697</c:v>
                </c:pt>
                <c:pt idx="12">
                  <c:v>5.3007220668642256</c:v>
                </c:pt>
                <c:pt idx="13">
                  <c:v>2.695846909858945</c:v>
                </c:pt>
                <c:pt idx="14">
                  <c:v>10.255996123718001</c:v>
                </c:pt>
              </c:numCache>
            </c:numRef>
          </c:xVal>
          <c:yVal>
            <c:numRef>
              <c:f>Sheet6!$P$3:$P$17</c:f>
              <c:numCache>
                <c:formatCode>General</c:formatCode>
                <c:ptCount val="15"/>
                <c:pt idx="0">
                  <c:v>13</c:v>
                </c:pt>
                <c:pt idx="1">
                  <c:v>19</c:v>
                </c:pt>
                <c:pt idx="2">
                  <c:v>20</c:v>
                </c:pt>
                <c:pt idx="3">
                  <c:v>22</c:v>
                </c:pt>
                <c:pt idx="4">
                  <c:v>28</c:v>
                </c:pt>
                <c:pt idx="5">
                  <c:v>31</c:v>
                </c:pt>
                <c:pt idx="6">
                  <c:v>38</c:v>
                </c:pt>
                <c:pt idx="7">
                  <c:v>56</c:v>
                </c:pt>
                <c:pt idx="8">
                  <c:v>57</c:v>
                </c:pt>
                <c:pt idx="9">
                  <c:v>67</c:v>
                </c:pt>
                <c:pt idx="10">
                  <c:v>73</c:v>
                </c:pt>
                <c:pt idx="11">
                  <c:v>78</c:v>
                </c:pt>
                <c:pt idx="12">
                  <c:v>78</c:v>
                </c:pt>
                <c:pt idx="13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E-4575-8944-9A0143B5E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035808"/>
        <c:axId val="1773495760"/>
      </c:scatterChart>
      <c:valAx>
        <c:axId val="177603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95760"/>
        <c:crosses val="autoZero"/>
        <c:crossBetween val="midCat"/>
      </c:valAx>
      <c:valAx>
        <c:axId val="177349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3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54999937037168E-2"/>
          <c:y val="3.0513998250218721E-2"/>
          <c:w val="0.85298325217961213"/>
          <c:h val="0.8100096237970253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1.0838392567691634E-2"/>
                  <c:y val="-0.501585301837270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Sheet6!$Q$40:$Q$68</c:f>
              <c:numCache>
                <c:formatCode>General</c:formatCode>
                <c:ptCount val="29"/>
                <c:pt idx="0">
                  <c:v>9.6300000000000008</c:v>
                </c:pt>
                <c:pt idx="1">
                  <c:v>7.42</c:v>
                </c:pt>
                <c:pt idx="2">
                  <c:v>6.39</c:v>
                </c:pt>
                <c:pt idx="3">
                  <c:v>5.25</c:v>
                </c:pt>
                <c:pt idx="4">
                  <c:v>3.98</c:v>
                </c:pt>
                <c:pt idx="5">
                  <c:v>4.95</c:v>
                </c:pt>
                <c:pt idx="6">
                  <c:v>4</c:v>
                </c:pt>
                <c:pt idx="7">
                  <c:v>3.72</c:v>
                </c:pt>
                <c:pt idx="8">
                  <c:v>3.55</c:v>
                </c:pt>
                <c:pt idx="9">
                  <c:v>3.75</c:v>
                </c:pt>
                <c:pt idx="10">
                  <c:v>3.35</c:v>
                </c:pt>
                <c:pt idx="11">
                  <c:v>3.34</c:v>
                </c:pt>
                <c:pt idx="12">
                  <c:v>3.35</c:v>
                </c:pt>
                <c:pt idx="13">
                  <c:v>3.22</c:v>
                </c:pt>
                <c:pt idx="14">
                  <c:v>3.21</c:v>
                </c:pt>
                <c:pt idx="15">
                  <c:v>3.02</c:v>
                </c:pt>
                <c:pt idx="16">
                  <c:v>2.93</c:v>
                </c:pt>
                <c:pt idx="17">
                  <c:v>2.84</c:v>
                </c:pt>
                <c:pt idx="18">
                  <c:v>2.68</c:v>
                </c:pt>
                <c:pt idx="19">
                  <c:v>2.65</c:v>
                </c:pt>
                <c:pt idx="20">
                  <c:v>2.39</c:v>
                </c:pt>
                <c:pt idx="21">
                  <c:v>2.3199999999999998</c:v>
                </c:pt>
                <c:pt idx="22">
                  <c:v>2.29</c:v>
                </c:pt>
                <c:pt idx="23">
                  <c:v>2.2200000000000002</c:v>
                </c:pt>
                <c:pt idx="24">
                  <c:v>2.1800000000000002</c:v>
                </c:pt>
                <c:pt idx="25">
                  <c:v>2.08</c:v>
                </c:pt>
                <c:pt idx="26">
                  <c:v>2.0299999999999998</c:v>
                </c:pt>
                <c:pt idx="27">
                  <c:v>1.97</c:v>
                </c:pt>
                <c:pt idx="28">
                  <c:v>1.72</c:v>
                </c:pt>
              </c:numCache>
            </c:numRef>
          </c:xVal>
          <c:yVal>
            <c:numRef>
              <c:f>Sheet6!$N$40:$N$68</c:f>
              <c:numCache>
                <c:formatCode>General</c:formatCode>
                <c:ptCount val="29"/>
                <c:pt idx="0">
                  <c:v>1.2</c:v>
                </c:pt>
                <c:pt idx="1">
                  <c:v>2</c:v>
                </c:pt>
                <c:pt idx="2">
                  <c:v>2.2799999999999998</c:v>
                </c:pt>
                <c:pt idx="3">
                  <c:v>3.1</c:v>
                </c:pt>
                <c:pt idx="4">
                  <c:v>3.5</c:v>
                </c:pt>
                <c:pt idx="5">
                  <c:v>3.47</c:v>
                </c:pt>
                <c:pt idx="6">
                  <c:v>3.59</c:v>
                </c:pt>
                <c:pt idx="7">
                  <c:v>3.9</c:v>
                </c:pt>
                <c:pt idx="8">
                  <c:v>4.2</c:v>
                </c:pt>
                <c:pt idx="9">
                  <c:v>4.5</c:v>
                </c:pt>
                <c:pt idx="10">
                  <c:v>4.5999999999999996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  <c:pt idx="15">
                  <c:v>5.5</c:v>
                </c:pt>
                <c:pt idx="16">
                  <c:v>5.8</c:v>
                </c:pt>
                <c:pt idx="17">
                  <c:v>5.9</c:v>
                </c:pt>
                <c:pt idx="18">
                  <c:v>6.5</c:v>
                </c:pt>
                <c:pt idx="19">
                  <c:v>6.6</c:v>
                </c:pt>
                <c:pt idx="20">
                  <c:v>7.8</c:v>
                </c:pt>
                <c:pt idx="21">
                  <c:v>8.1</c:v>
                </c:pt>
                <c:pt idx="22">
                  <c:v>8.3000000000000007</c:v>
                </c:pt>
                <c:pt idx="23">
                  <c:v>8.5</c:v>
                </c:pt>
                <c:pt idx="24">
                  <c:v>8.9</c:v>
                </c:pt>
                <c:pt idx="25">
                  <c:v>9.5</c:v>
                </c:pt>
                <c:pt idx="26">
                  <c:v>10.5</c:v>
                </c:pt>
                <c:pt idx="27">
                  <c:v>12.9</c:v>
                </c:pt>
                <c:pt idx="28">
                  <c:v>15.1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4-4025-A5C5-1A26E260A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63600"/>
        <c:axId val="2049776400"/>
      </c:scatterChart>
      <c:valAx>
        <c:axId val="50256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776400"/>
        <c:crosses val="autoZero"/>
        <c:crossBetween val="midCat"/>
      </c:valAx>
      <c:valAx>
        <c:axId val="204977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6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Sheet6!$N$40:$N$68</c:f>
              <c:numCache>
                <c:formatCode>General</c:formatCode>
                <c:ptCount val="29"/>
                <c:pt idx="0">
                  <c:v>1.2</c:v>
                </c:pt>
                <c:pt idx="1">
                  <c:v>2</c:v>
                </c:pt>
                <c:pt idx="2">
                  <c:v>2.2799999999999998</c:v>
                </c:pt>
                <c:pt idx="3">
                  <c:v>3.1</c:v>
                </c:pt>
                <c:pt idx="4">
                  <c:v>3.5</c:v>
                </c:pt>
                <c:pt idx="5">
                  <c:v>3.47</c:v>
                </c:pt>
                <c:pt idx="6">
                  <c:v>3.59</c:v>
                </c:pt>
                <c:pt idx="7">
                  <c:v>3.9</c:v>
                </c:pt>
                <c:pt idx="8">
                  <c:v>4.2</c:v>
                </c:pt>
                <c:pt idx="9">
                  <c:v>4.5</c:v>
                </c:pt>
                <c:pt idx="10">
                  <c:v>4.5999999999999996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4.9000000000000004</c:v>
                </c:pt>
                <c:pt idx="14">
                  <c:v>5</c:v>
                </c:pt>
                <c:pt idx="15">
                  <c:v>5.5</c:v>
                </c:pt>
                <c:pt idx="16">
                  <c:v>5.8</c:v>
                </c:pt>
                <c:pt idx="17">
                  <c:v>5.9</c:v>
                </c:pt>
                <c:pt idx="18">
                  <c:v>6.5</c:v>
                </c:pt>
                <c:pt idx="19">
                  <c:v>6.6</c:v>
                </c:pt>
                <c:pt idx="20">
                  <c:v>7.8</c:v>
                </c:pt>
                <c:pt idx="21">
                  <c:v>8.1</c:v>
                </c:pt>
                <c:pt idx="22">
                  <c:v>8.3000000000000007</c:v>
                </c:pt>
                <c:pt idx="23">
                  <c:v>8.5</c:v>
                </c:pt>
                <c:pt idx="24">
                  <c:v>8.9</c:v>
                </c:pt>
                <c:pt idx="25">
                  <c:v>9.5</c:v>
                </c:pt>
                <c:pt idx="26">
                  <c:v>10.5</c:v>
                </c:pt>
                <c:pt idx="27">
                  <c:v>12.9</c:v>
                </c:pt>
                <c:pt idx="28">
                  <c:v>15.1</c:v>
                </c:pt>
              </c:numCache>
            </c:numRef>
          </c:xVal>
          <c:yVal>
            <c:numRef>
              <c:f>Sheet6!$P$40:$P$68</c:f>
              <c:numCache>
                <c:formatCode>General</c:formatCode>
                <c:ptCount val="29"/>
                <c:pt idx="0">
                  <c:v>0.52</c:v>
                </c:pt>
                <c:pt idx="1">
                  <c:v>0.57999999999999996</c:v>
                </c:pt>
                <c:pt idx="2">
                  <c:v>0.62</c:v>
                </c:pt>
                <c:pt idx="3">
                  <c:v>0.75</c:v>
                </c:pt>
                <c:pt idx="4">
                  <c:v>0.78</c:v>
                </c:pt>
                <c:pt idx="5">
                  <c:v>0.81</c:v>
                </c:pt>
                <c:pt idx="6">
                  <c:v>0.93</c:v>
                </c:pt>
                <c:pt idx="7">
                  <c:v>0.94</c:v>
                </c:pt>
                <c:pt idx="8">
                  <c:v>0.96</c:v>
                </c:pt>
                <c:pt idx="9">
                  <c:v>0.98</c:v>
                </c:pt>
                <c:pt idx="10">
                  <c:v>1.01</c:v>
                </c:pt>
                <c:pt idx="11">
                  <c:v>1.02</c:v>
                </c:pt>
                <c:pt idx="12">
                  <c:v>1.03</c:v>
                </c:pt>
                <c:pt idx="13">
                  <c:v>1.06</c:v>
                </c:pt>
                <c:pt idx="14">
                  <c:v>1.08</c:v>
                </c:pt>
                <c:pt idx="15">
                  <c:v>1.1399999999999999</c:v>
                </c:pt>
                <c:pt idx="16">
                  <c:v>1.18</c:v>
                </c:pt>
                <c:pt idx="17">
                  <c:v>1.2</c:v>
                </c:pt>
                <c:pt idx="18">
                  <c:v>1.27</c:v>
                </c:pt>
                <c:pt idx="19">
                  <c:v>1.28</c:v>
                </c:pt>
                <c:pt idx="20">
                  <c:v>1.46</c:v>
                </c:pt>
                <c:pt idx="21">
                  <c:v>1.5</c:v>
                </c:pt>
                <c:pt idx="22">
                  <c:v>1.53</c:v>
                </c:pt>
                <c:pt idx="23">
                  <c:v>1.56</c:v>
                </c:pt>
                <c:pt idx="24">
                  <c:v>1.72</c:v>
                </c:pt>
                <c:pt idx="25">
                  <c:v>1.75</c:v>
                </c:pt>
                <c:pt idx="26">
                  <c:v>1.78</c:v>
                </c:pt>
                <c:pt idx="27">
                  <c:v>2.06</c:v>
                </c:pt>
                <c:pt idx="28">
                  <c:v>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6-4B27-9BA6-F061E4CF2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518000"/>
        <c:axId val="1959018720"/>
      </c:scatterChart>
      <c:valAx>
        <c:axId val="5025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018720"/>
        <c:crosses val="autoZero"/>
        <c:crossBetween val="midCat"/>
      </c:valAx>
      <c:valAx>
        <c:axId val="195901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518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3043030805359855"/>
                  <c:y val="0.14351851851851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Sheet4!#REF!</c:f>
            </c:numRef>
          </c:xVal>
          <c:yVal>
            <c:numRef>
              <c:f>Sheet4!$L$17:$L$37</c:f>
              <c:numCache>
                <c:formatCode>General</c:formatCode>
                <c:ptCount val="21"/>
                <c:pt idx="0">
                  <c:v>272.34302000000002</c:v>
                </c:pt>
                <c:pt idx="1">
                  <c:v>230.97445999999999</c:v>
                </c:pt>
                <c:pt idx="2">
                  <c:v>236.14553000000001</c:v>
                </c:pt>
                <c:pt idx="3">
                  <c:v>175.81638000000001</c:v>
                </c:pt>
                <c:pt idx="4">
                  <c:v>236.14553000000001</c:v>
                </c:pt>
                <c:pt idx="5">
                  <c:v>213.73756</c:v>
                </c:pt>
                <c:pt idx="6">
                  <c:v>201.67172999999997</c:v>
                </c:pt>
                <c:pt idx="7">
                  <c:v>196.50066000000001</c:v>
                </c:pt>
                <c:pt idx="8">
                  <c:v>182.71113999999997</c:v>
                </c:pt>
                <c:pt idx="9">
                  <c:v>155.13210000000001</c:v>
                </c:pt>
                <c:pt idx="10">
                  <c:v>182.71113999999997</c:v>
                </c:pt>
                <c:pt idx="11">
                  <c:v>131.00044</c:v>
                </c:pt>
                <c:pt idx="12">
                  <c:v>155.13210000000001</c:v>
                </c:pt>
                <c:pt idx="13">
                  <c:v>155.13210000000001</c:v>
                </c:pt>
                <c:pt idx="14">
                  <c:v>139.61888999999999</c:v>
                </c:pt>
                <c:pt idx="15">
                  <c:v>139.61888999999999</c:v>
                </c:pt>
                <c:pt idx="16">
                  <c:v>106.86878</c:v>
                </c:pt>
                <c:pt idx="17">
                  <c:v>89.631879999999995</c:v>
                </c:pt>
                <c:pt idx="19">
                  <c:v>60.329149999999998</c:v>
                </c:pt>
                <c:pt idx="20">
                  <c:v>41.368559999999995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6-4E69-8627-1DBFDB76E7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014504765851637E-2"/>
                  <c:y val="0.37545348498104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Sheet4!#REF!</c:f>
            </c:numRef>
          </c:xVal>
          <c:yVal>
            <c:numRef>
              <c:f>Sheet4!$M$17:$M$37</c:f>
              <c:numCache>
                <c:formatCode>General</c:formatCode>
                <c:ptCount val="21"/>
                <c:pt idx="0">
                  <c:v>262.00088</c:v>
                </c:pt>
                <c:pt idx="1">
                  <c:v>199.94803999999999</c:v>
                </c:pt>
                <c:pt idx="2">
                  <c:v>206.84279999999998</c:v>
                </c:pt>
                <c:pt idx="3">
                  <c:v>137.89519999999999</c:v>
                </c:pt>
                <c:pt idx="8">
                  <c:v>144.78996000000001</c:v>
                </c:pt>
                <c:pt idx="9">
                  <c:v>117.21092</c:v>
                </c:pt>
                <c:pt idx="10">
                  <c:v>144.78996000000001</c:v>
                </c:pt>
                <c:pt idx="11">
                  <c:v>96.52664</c:v>
                </c:pt>
                <c:pt idx="16">
                  <c:v>75.842359999999999</c:v>
                </c:pt>
                <c:pt idx="17">
                  <c:v>62.052839999999996</c:v>
                </c:pt>
                <c:pt idx="19">
                  <c:v>41.368560000000002</c:v>
                </c:pt>
                <c:pt idx="20">
                  <c:v>27.579039999999999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B6-4E69-8627-1DBFDB76E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82703"/>
        <c:axId val="146144479"/>
      </c:scatterChart>
      <c:valAx>
        <c:axId val="21558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4479"/>
        <c:crosses val="autoZero"/>
        <c:crossBetween val="midCat"/>
      </c:valAx>
      <c:valAx>
        <c:axId val="1461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8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Sheet4!$AH$17:$AH$38</c:f>
              <c:numCache>
                <c:formatCode>General</c:formatCode>
                <c:ptCount val="22"/>
                <c:pt idx="0">
                  <c:v>68</c:v>
                </c:pt>
                <c:pt idx="1">
                  <c:v>52</c:v>
                </c:pt>
                <c:pt idx="2">
                  <c:v>54</c:v>
                </c:pt>
                <c:pt idx="3">
                  <c:v>34</c:v>
                </c:pt>
                <c:pt idx="8">
                  <c:v>37</c:v>
                </c:pt>
                <c:pt idx="9">
                  <c:v>31</c:v>
                </c:pt>
                <c:pt idx="10">
                  <c:v>37</c:v>
                </c:pt>
                <c:pt idx="11">
                  <c:v>23</c:v>
                </c:pt>
                <c:pt idx="16">
                  <c:v>20</c:v>
                </c:pt>
                <c:pt idx="17">
                  <c:v>16</c:v>
                </c:pt>
                <c:pt idx="19">
                  <c:v>9</c:v>
                </c:pt>
                <c:pt idx="20">
                  <c:v>6</c:v>
                </c:pt>
              </c:numCache>
            </c:numRef>
          </c:xVal>
          <c:yVal>
            <c:numRef>
              <c:f>Sheet4!$AE$17:$AE$40</c:f>
              <c:numCache>
                <c:formatCode>General</c:formatCode>
                <c:ptCount val="24"/>
                <c:pt idx="0">
                  <c:v>299.63325206801005</c:v>
                </c:pt>
                <c:pt idx="1">
                  <c:v>247.44248102647487</c:v>
                </c:pt>
                <c:pt idx="2">
                  <c:v>299.63325206801005</c:v>
                </c:pt>
                <c:pt idx="3">
                  <c:v>188.94229946812271</c:v>
                </c:pt>
                <c:pt idx="4">
                  <c:v>274.16420236269965</c:v>
                </c:pt>
                <c:pt idx="5">
                  <c:v>247.44248102647487</c:v>
                </c:pt>
                <c:pt idx="6">
                  <c:v>247.44248102647487</c:v>
                </c:pt>
                <c:pt idx="7">
                  <c:v>219.17891767052171</c:v>
                </c:pt>
                <c:pt idx="8">
                  <c:v>219.17891767052171</c:v>
                </c:pt>
                <c:pt idx="9">
                  <c:v>188.94229946812271</c:v>
                </c:pt>
                <c:pt idx="10">
                  <c:v>188.94229946812271</c:v>
                </c:pt>
                <c:pt idx="11">
                  <c:v>119.14295987482359</c:v>
                </c:pt>
                <c:pt idx="12">
                  <c:v>156.03191911633272</c:v>
                </c:pt>
                <c:pt idx="13">
                  <c:v>156.03191911633272</c:v>
                </c:pt>
                <c:pt idx="14">
                  <c:v>138.20952252056165</c:v>
                </c:pt>
                <c:pt idx="15">
                  <c:v>138.20952252056165</c:v>
                </c:pt>
                <c:pt idx="16">
                  <c:v>102.70670666431118</c:v>
                </c:pt>
                <c:pt idx="17">
                  <c:v>98.390380189087139</c:v>
                </c:pt>
                <c:pt idx="18">
                  <c:v>64.764645425762922</c:v>
                </c:pt>
                <c:pt idx="19">
                  <c:v>75.128994024594888</c:v>
                </c:pt>
                <c:pt idx="20">
                  <c:v>98.390380189087139</c:v>
                </c:pt>
                <c:pt idx="21">
                  <c:v>47.374731575225404</c:v>
                </c:pt>
                <c:pt idx="22">
                  <c:v>16.238860759328354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DDA-8E09-8FA5F8198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800352"/>
        <c:axId val="146149055"/>
      </c:scatterChart>
      <c:valAx>
        <c:axId val="209280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055"/>
        <c:crosses val="autoZero"/>
        <c:crossBetween val="midCat"/>
      </c:valAx>
      <c:valAx>
        <c:axId val="1461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80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43043030805359855"/>
                  <c:y val="0.14351851851851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Sheet4!$AH$17:$AH$37</c:f>
              <c:numCache>
                <c:formatCode>General</c:formatCode>
                <c:ptCount val="21"/>
                <c:pt idx="0">
                  <c:v>68</c:v>
                </c:pt>
                <c:pt idx="1">
                  <c:v>52</c:v>
                </c:pt>
                <c:pt idx="2">
                  <c:v>54</c:v>
                </c:pt>
                <c:pt idx="3">
                  <c:v>34</c:v>
                </c:pt>
                <c:pt idx="8">
                  <c:v>37</c:v>
                </c:pt>
                <c:pt idx="9">
                  <c:v>31</c:v>
                </c:pt>
                <c:pt idx="10">
                  <c:v>37</c:v>
                </c:pt>
                <c:pt idx="11">
                  <c:v>23</c:v>
                </c:pt>
                <c:pt idx="16">
                  <c:v>20</c:v>
                </c:pt>
                <c:pt idx="17">
                  <c:v>16</c:v>
                </c:pt>
                <c:pt idx="19">
                  <c:v>9</c:v>
                </c:pt>
                <c:pt idx="20">
                  <c:v>6</c:v>
                </c:pt>
              </c:numCache>
            </c:numRef>
          </c:xVal>
          <c:yVal>
            <c:numRef>
              <c:f>Sheet4!$L$17:$L$37</c:f>
              <c:numCache>
                <c:formatCode>General</c:formatCode>
                <c:ptCount val="21"/>
                <c:pt idx="0">
                  <c:v>272.34302000000002</c:v>
                </c:pt>
                <c:pt idx="1">
                  <c:v>230.97445999999999</c:v>
                </c:pt>
                <c:pt idx="2">
                  <c:v>236.14553000000001</c:v>
                </c:pt>
                <c:pt idx="3">
                  <c:v>175.81638000000001</c:v>
                </c:pt>
                <c:pt idx="4">
                  <c:v>236.14553000000001</c:v>
                </c:pt>
                <c:pt idx="5">
                  <c:v>213.73756</c:v>
                </c:pt>
                <c:pt idx="6">
                  <c:v>201.67172999999997</c:v>
                </c:pt>
                <c:pt idx="7">
                  <c:v>196.50066000000001</c:v>
                </c:pt>
                <c:pt idx="8">
                  <c:v>182.71113999999997</c:v>
                </c:pt>
                <c:pt idx="9">
                  <c:v>155.13210000000001</c:v>
                </c:pt>
                <c:pt idx="10">
                  <c:v>182.71113999999997</c:v>
                </c:pt>
                <c:pt idx="11">
                  <c:v>131.00044</c:v>
                </c:pt>
                <c:pt idx="12">
                  <c:v>155.13210000000001</c:v>
                </c:pt>
                <c:pt idx="13">
                  <c:v>155.13210000000001</c:v>
                </c:pt>
                <c:pt idx="14">
                  <c:v>139.61888999999999</c:v>
                </c:pt>
                <c:pt idx="15">
                  <c:v>139.61888999999999</c:v>
                </c:pt>
                <c:pt idx="16">
                  <c:v>106.86878</c:v>
                </c:pt>
                <c:pt idx="17">
                  <c:v>89.631879999999995</c:v>
                </c:pt>
                <c:pt idx="19">
                  <c:v>60.329149999999998</c:v>
                </c:pt>
                <c:pt idx="20">
                  <c:v>41.368559999999995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03-4515-AFEA-5C3032582E3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014504765851637E-2"/>
                  <c:y val="0.37545348498104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Sheet4!$AH$17:$AH$37</c:f>
              <c:numCache>
                <c:formatCode>General</c:formatCode>
                <c:ptCount val="21"/>
                <c:pt idx="0">
                  <c:v>68</c:v>
                </c:pt>
                <c:pt idx="1">
                  <c:v>52</c:v>
                </c:pt>
                <c:pt idx="2">
                  <c:v>54</c:v>
                </c:pt>
                <c:pt idx="3">
                  <c:v>34</c:v>
                </c:pt>
                <c:pt idx="8">
                  <c:v>37</c:v>
                </c:pt>
                <c:pt idx="9">
                  <c:v>31</c:v>
                </c:pt>
                <c:pt idx="10">
                  <c:v>37</c:v>
                </c:pt>
                <c:pt idx="11">
                  <c:v>23</c:v>
                </c:pt>
                <c:pt idx="16">
                  <c:v>20</c:v>
                </c:pt>
                <c:pt idx="17">
                  <c:v>16</c:v>
                </c:pt>
                <c:pt idx="19">
                  <c:v>9</c:v>
                </c:pt>
                <c:pt idx="20">
                  <c:v>6</c:v>
                </c:pt>
              </c:numCache>
            </c:numRef>
          </c:xVal>
          <c:yVal>
            <c:numRef>
              <c:f>Sheet4!$M$17:$M$37</c:f>
              <c:numCache>
                <c:formatCode>General</c:formatCode>
                <c:ptCount val="21"/>
                <c:pt idx="0">
                  <c:v>262.00088</c:v>
                </c:pt>
                <c:pt idx="1">
                  <c:v>199.94803999999999</c:v>
                </c:pt>
                <c:pt idx="2">
                  <c:v>206.84279999999998</c:v>
                </c:pt>
                <c:pt idx="3">
                  <c:v>137.89519999999999</c:v>
                </c:pt>
                <c:pt idx="8">
                  <c:v>144.78996000000001</c:v>
                </c:pt>
                <c:pt idx="9">
                  <c:v>117.21092</c:v>
                </c:pt>
                <c:pt idx="10">
                  <c:v>144.78996000000001</c:v>
                </c:pt>
                <c:pt idx="11">
                  <c:v>96.52664</c:v>
                </c:pt>
                <c:pt idx="16">
                  <c:v>75.842359999999999</c:v>
                </c:pt>
                <c:pt idx="17">
                  <c:v>62.052839999999996</c:v>
                </c:pt>
                <c:pt idx="19">
                  <c:v>41.368560000000002</c:v>
                </c:pt>
                <c:pt idx="20">
                  <c:v>27.579039999999999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03-4515-AFEA-5C3032582E3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5.3774860524163678E-2"/>
                  <c:y val="-3.18315451361781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Sheet4!$AH$4:$AH$15</c:f>
              <c:numCache>
                <c:formatCode>General</c:formatCode>
                <c:ptCount val="12"/>
                <c:pt idx="0">
                  <c:v>67.5</c:v>
                </c:pt>
                <c:pt idx="1">
                  <c:v>62.5</c:v>
                </c:pt>
                <c:pt idx="2">
                  <c:v>27.5</c:v>
                </c:pt>
                <c:pt idx="4">
                  <c:v>17.5</c:v>
                </c:pt>
                <c:pt idx="6">
                  <c:v>62.5</c:v>
                </c:pt>
                <c:pt idx="7">
                  <c:v>27.5</c:v>
                </c:pt>
                <c:pt idx="8">
                  <c:v>22.5</c:v>
                </c:pt>
                <c:pt idx="9">
                  <c:v>17.5</c:v>
                </c:pt>
                <c:pt idx="10">
                  <c:v>17.5</c:v>
                </c:pt>
                <c:pt idx="11">
                  <c:v>12.5</c:v>
                </c:pt>
              </c:numCache>
            </c:numRef>
          </c:xVal>
          <c:yVal>
            <c:numRef>
              <c:f>Sheet4!$L$4:$L$15</c:f>
              <c:numCache>
                <c:formatCode>General</c:formatCode>
                <c:ptCount val="12"/>
                <c:pt idx="0">
                  <c:v>268.89564000000001</c:v>
                </c:pt>
                <c:pt idx="1">
                  <c:v>230.97445999999999</c:v>
                </c:pt>
                <c:pt idx="2">
                  <c:v>182.71113999999997</c:v>
                </c:pt>
                <c:pt idx="3">
                  <c:v>155.13210000000001</c:v>
                </c:pt>
                <c:pt idx="4">
                  <c:v>141.34258</c:v>
                </c:pt>
                <c:pt idx="5">
                  <c:v>131.00044</c:v>
                </c:pt>
                <c:pt idx="6">
                  <c:v>162.02686</c:v>
                </c:pt>
                <c:pt idx="7">
                  <c:v>131.00044</c:v>
                </c:pt>
                <c:pt idx="8">
                  <c:v>106.86878</c:v>
                </c:pt>
                <c:pt idx="9">
                  <c:v>89.631879999999995</c:v>
                </c:pt>
                <c:pt idx="10">
                  <c:v>62.052839999999996</c:v>
                </c:pt>
                <c:pt idx="11">
                  <c:v>41.368559999999995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503-4515-AFEA-5C3032582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82703"/>
        <c:axId val="146144479"/>
      </c:scatterChart>
      <c:valAx>
        <c:axId val="215582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4479"/>
        <c:crosses val="autoZero"/>
        <c:crossBetween val="midCat"/>
      </c:valAx>
      <c:valAx>
        <c:axId val="1461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58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Sheet4!$Z$67:$Z$77</c:f>
              <c:numCache>
                <c:formatCode>General</c:formatCode>
                <c:ptCount val="11"/>
                <c:pt idx="0">
                  <c:v>6</c:v>
                </c:pt>
                <c:pt idx="1">
                  <c:v>6.8181818181818183</c:v>
                </c:pt>
                <c:pt idx="2">
                  <c:v>7.8947368421052628</c:v>
                </c:pt>
                <c:pt idx="3">
                  <c:v>9.0909090909090917</c:v>
                </c:pt>
                <c:pt idx="4">
                  <c:v>10.714285714285714</c:v>
                </c:pt>
                <c:pt idx="5">
                  <c:v>12.5</c:v>
                </c:pt>
                <c:pt idx="6">
                  <c:v>13.636363636363637</c:v>
                </c:pt>
                <c:pt idx="7">
                  <c:v>16.666666666666668</c:v>
                </c:pt>
                <c:pt idx="8">
                  <c:v>18.75</c:v>
                </c:pt>
                <c:pt idx="9">
                  <c:v>20</c:v>
                </c:pt>
                <c:pt idx="10">
                  <c:v>21.428571428571427</c:v>
                </c:pt>
              </c:numCache>
            </c:numRef>
          </c:xVal>
          <c:yVal>
            <c:numRef>
              <c:f>Sheet4!$AA$69:$AA$79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24-4D5E-9858-BA1520B05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413695"/>
        <c:axId val="1408664831"/>
      </c:scatterChart>
      <c:valAx>
        <c:axId val="201941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664831"/>
        <c:crosses val="autoZero"/>
        <c:crossBetween val="midCat"/>
      </c:valAx>
      <c:valAx>
        <c:axId val="140866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41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Sheet4!$AA$46:$AA$52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Sheet4!$AB$46:$AB$52</c:f>
              <c:numCache>
                <c:formatCode>General</c:formatCode>
                <c:ptCount val="7"/>
                <c:pt idx="0">
                  <c:v>109</c:v>
                </c:pt>
                <c:pt idx="1">
                  <c:v>80</c:v>
                </c:pt>
                <c:pt idx="2">
                  <c:v>59</c:v>
                </c:pt>
                <c:pt idx="3">
                  <c:v>45</c:v>
                </c:pt>
                <c:pt idx="4">
                  <c:v>38</c:v>
                </c:pt>
                <c:pt idx="5">
                  <c:v>33</c:v>
                </c:pt>
                <c:pt idx="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4-4182-A78B-BABA7BC2437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Sheet4!$AA$46:$AA$52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Sheet4!$AC$46:$AC$52</c:f>
              <c:numCache>
                <c:formatCode>General</c:formatCode>
                <c:ptCount val="7"/>
                <c:pt idx="0">
                  <c:v>111</c:v>
                </c:pt>
                <c:pt idx="1">
                  <c:v>85</c:v>
                </c:pt>
                <c:pt idx="2">
                  <c:v>65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64-4182-A78B-BABA7BC2437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Sheet4!$AA$46:$AA$52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Sheet4!$AD$46:$AD$52</c:f>
              <c:numCache>
                <c:formatCode>General</c:formatCode>
                <c:ptCount val="7"/>
                <c:pt idx="0">
                  <c:v>318</c:v>
                </c:pt>
                <c:pt idx="1">
                  <c:v>244</c:v>
                </c:pt>
                <c:pt idx="2">
                  <c:v>186</c:v>
                </c:pt>
                <c:pt idx="3">
                  <c:v>147</c:v>
                </c:pt>
                <c:pt idx="4">
                  <c:v>122</c:v>
                </c:pt>
                <c:pt idx="5">
                  <c:v>103</c:v>
                </c:pt>
                <c:pt idx="6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64-4182-A78B-BABA7BC2437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Sheet4!$AA$46:$AA$52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Sheet4!$AE$46:$AE$52</c:f>
              <c:numCache>
                <c:formatCode>General</c:formatCode>
                <c:ptCount val="7"/>
                <c:pt idx="0">
                  <c:v>228</c:v>
                </c:pt>
                <c:pt idx="1">
                  <c:v>175</c:v>
                </c:pt>
                <c:pt idx="2">
                  <c:v>134</c:v>
                </c:pt>
                <c:pt idx="3">
                  <c:v>106</c:v>
                </c:pt>
                <c:pt idx="4">
                  <c:v>88</c:v>
                </c:pt>
                <c:pt idx="5">
                  <c:v>75</c:v>
                </c:pt>
                <c:pt idx="6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64-4182-A78B-BABA7BC2437D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Sheet4!$AA$46:$AA$52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Sheet4!$AF$46:$AF$52</c:f>
              <c:numCache>
                <c:formatCode>General</c:formatCode>
                <c:ptCount val="7"/>
                <c:pt idx="0">
                  <c:v>164</c:v>
                </c:pt>
                <c:pt idx="1">
                  <c:v>126</c:v>
                </c:pt>
                <c:pt idx="2">
                  <c:v>96</c:v>
                </c:pt>
                <c:pt idx="3">
                  <c:v>76</c:v>
                </c:pt>
                <c:pt idx="4">
                  <c:v>63</c:v>
                </c:pt>
                <c:pt idx="5">
                  <c:v>54</c:v>
                </c:pt>
                <c:pt idx="6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64-4182-A78B-BABA7BC2437D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Sheet4!$AA$46:$AA$52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Sheet4!$AG$46:$AG$52</c:f>
              <c:numCache>
                <c:formatCode>General</c:formatCode>
                <c:ptCount val="7"/>
                <c:pt idx="0">
                  <c:v>117</c:v>
                </c:pt>
                <c:pt idx="1">
                  <c:v>90</c:v>
                </c:pt>
                <c:pt idx="2">
                  <c:v>69</c:v>
                </c:pt>
                <c:pt idx="3">
                  <c:v>54</c:v>
                </c:pt>
                <c:pt idx="4">
                  <c:v>45</c:v>
                </c:pt>
                <c:pt idx="5">
                  <c:v>38</c:v>
                </c:pt>
                <c:pt idx="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64-4182-A78B-BABA7BC24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362400"/>
        <c:axId val="473465136"/>
      </c:scatterChart>
      <c:valAx>
        <c:axId val="108136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65136"/>
        <c:crosses val="autoZero"/>
        <c:crossBetween val="midCat"/>
      </c:valAx>
      <c:valAx>
        <c:axId val="4734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36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Sheet4!$AA$58:$AA$64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Sheet4!$AB$58:$AB$64</c:f>
              <c:numCache>
                <c:formatCode>General</c:formatCode>
                <c:ptCount val="7"/>
                <c:pt idx="2">
                  <c:v>56</c:v>
                </c:pt>
                <c:pt idx="3">
                  <c:v>52</c:v>
                </c:pt>
                <c:pt idx="4">
                  <c:v>39</c:v>
                </c:pt>
                <c:pt idx="5">
                  <c:v>38</c:v>
                </c:pt>
                <c:pt idx="6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D-46F5-8DC0-AD632F69B09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Sheet4!$AA$58:$AA$64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Sheet4!$AC$58:$AC$64</c:f>
              <c:numCache>
                <c:formatCode>General</c:formatCode>
                <c:ptCount val="7"/>
                <c:pt idx="2">
                  <c:v>66</c:v>
                </c:pt>
                <c:pt idx="3">
                  <c:v>62</c:v>
                </c:pt>
                <c:pt idx="4">
                  <c:v>46</c:v>
                </c:pt>
                <c:pt idx="5">
                  <c:v>44</c:v>
                </c:pt>
                <c:pt idx="6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D-46F5-8DC0-AD632F69B0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Sheet4!$AA$58:$AA$64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Sheet4!$AD$58:$AD$64</c:f>
              <c:numCache>
                <c:formatCode>General</c:formatCode>
                <c:ptCount val="7"/>
                <c:pt idx="0">
                  <c:v>260</c:v>
                </c:pt>
                <c:pt idx="1">
                  <c:v>188</c:v>
                </c:pt>
                <c:pt idx="2">
                  <c:v>146</c:v>
                </c:pt>
                <c:pt idx="3">
                  <c:v>137</c:v>
                </c:pt>
                <c:pt idx="4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1D-46F5-8DC0-AD632F69B09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Sheet4!$AA$58:$AA$64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Sheet4!$AE$58:$AE$64</c:f>
              <c:numCache>
                <c:formatCode>General</c:formatCode>
                <c:ptCount val="7"/>
                <c:pt idx="0">
                  <c:v>205</c:v>
                </c:pt>
                <c:pt idx="1">
                  <c:v>148</c:v>
                </c:pt>
                <c:pt idx="2">
                  <c:v>115</c:v>
                </c:pt>
                <c:pt idx="3">
                  <c:v>108</c:v>
                </c:pt>
                <c:pt idx="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1D-46F5-8DC0-AD632F69B09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Sheet4!$AA$58:$AA$64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Sheet4!$AF$58:$AF$64</c:f>
              <c:numCache>
                <c:formatCode>General</c:formatCode>
                <c:ptCount val="7"/>
                <c:pt idx="0">
                  <c:v>151</c:v>
                </c:pt>
                <c:pt idx="1">
                  <c:v>109</c:v>
                </c:pt>
                <c:pt idx="2">
                  <c:v>85</c:v>
                </c:pt>
                <c:pt idx="3">
                  <c:v>79</c:v>
                </c:pt>
                <c:pt idx="4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1D-46F5-8DC0-AD632F69B092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Sheet4!$AA$58:$AA$64</c:f>
              <c:numCache>
                <c:formatCode>General</c:formatCode>
                <c:ptCount val="7"/>
                <c:pt idx="0">
                  <c:v>80</c:v>
                </c:pt>
                <c:pt idx="1">
                  <c:v>45</c:v>
                </c:pt>
                <c:pt idx="2">
                  <c:v>25</c:v>
                </c:pt>
                <c:pt idx="3">
                  <c:v>15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</c:numCache>
            </c:numRef>
          </c:xVal>
          <c:yVal>
            <c:numRef>
              <c:f>Sheet4!$AG$58:$AG$64</c:f>
              <c:numCache>
                <c:formatCode>General</c:formatCode>
                <c:ptCount val="7"/>
                <c:pt idx="0">
                  <c:v>96</c:v>
                </c:pt>
                <c:pt idx="1">
                  <c:v>69</c:v>
                </c:pt>
                <c:pt idx="2">
                  <c:v>54</c:v>
                </c:pt>
                <c:pt idx="3">
                  <c:v>50</c:v>
                </c:pt>
                <c:pt idx="4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1D-46F5-8DC0-AD632F69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672272"/>
        <c:axId val="473453904"/>
      </c:scatterChart>
      <c:valAx>
        <c:axId val="120067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53904"/>
        <c:crosses val="autoZero"/>
        <c:crossBetween val="midCat"/>
      </c:valAx>
      <c:valAx>
        <c:axId val="4734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67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4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13</xdr:row>
      <xdr:rowOff>9524</xdr:rowOff>
    </xdr:from>
    <xdr:to>
      <xdr:col>13</xdr:col>
      <xdr:colOff>600075</xdr:colOff>
      <xdr:row>40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8962D3-6021-4B5C-A9D7-C21E98B18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</xdr:colOff>
      <xdr:row>38</xdr:row>
      <xdr:rowOff>52387</xdr:rowOff>
    </xdr:from>
    <xdr:to>
      <xdr:col>24</xdr:col>
      <xdr:colOff>338137</xdr:colOff>
      <xdr:row>57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B158B-1BB6-4D05-A2C5-142D81E25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180975</xdr:colOff>
      <xdr:row>40</xdr:row>
      <xdr:rowOff>123824</xdr:rowOff>
    </xdr:from>
    <xdr:to>
      <xdr:col>20</xdr:col>
      <xdr:colOff>314325</xdr:colOff>
      <xdr:row>44</xdr:row>
      <xdr:rowOff>82825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DBBE493E-E71B-4AC6-8EBE-3E21214E21BB}"/>
            </a:ext>
          </a:extLst>
        </xdr:cNvPr>
        <xdr:cNvSpPr/>
      </xdr:nvSpPr>
      <xdr:spPr>
        <a:xfrm>
          <a:off x="12480649" y="7743824"/>
          <a:ext cx="133350" cy="721001"/>
        </a:xfrm>
        <a:prstGeom prst="upDown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0.27324</cdr:x>
      <cdr:y>0.1862</cdr:y>
    </cdr:from>
    <cdr:to>
      <cdr:x>0.45112</cdr:x>
      <cdr:y>0.3138</cdr:y>
    </cdr:to>
    <cdr:sp macro="" textlink="">
      <cdr:nvSpPr>
        <cdr:cNvPr id="2" name="Callout: Bent Line with Border and Accent Bar 1">
          <a:extLst xmlns:a="http://schemas.openxmlformats.org/drawingml/2006/main">
            <a:ext uri="{FF2B5EF4-FFF2-40B4-BE49-F238E27FC236}">
              <a16:creationId xmlns:a16="http://schemas.microsoft.com/office/drawing/2014/main" id="{ABFC7C7F-A4E6-4901-A55E-CC6FA8B457BF}"/>
            </a:ext>
          </a:extLst>
        </cdr:cNvPr>
        <cdr:cNvSpPr/>
      </cdr:nvSpPr>
      <cdr:spPr>
        <a:xfrm xmlns:a="http://schemas.openxmlformats.org/drawingml/2006/main" flipH="1">
          <a:off x="1622087" y="681037"/>
          <a:ext cx="1056023" cy="466725"/>
        </a:xfrm>
        <a:prstGeom xmlns:a="http://schemas.openxmlformats.org/drawingml/2006/main"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6451"/>
            <a:gd name="adj6" fmla="val -62749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>
              <a:solidFill>
                <a:schemeClr val="tx1"/>
              </a:solidFill>
            </a:rPr>
            <a:t>Required cover thickness</a:t>
          </a:r>
        </a:p>
      </cdr:txBody>
    </cdr:sp>
  </cdr:relSizeAnchor>
  <cdr:relSizeAnchor xmlns:cdr="http://schemas.openxmlformats.org/drawingml/2006/chartDrawing">
    <cdr:from>
      <cdr:x>0.84371</cdr:x>
      <cdr:y>0.24396</cdr:y>
    </cdr:from>
    <cdr:to>
      <cdr:x>0.96577</cdr:x>
      <cdr:y>0.36419</cdr:y>
    </cdr:to>
    <cdr:sp macro="" textlink="">
      <cdr:nvSpPr>
        <cdr:cNvPr id="3" name="Callout: Bent Line with Border and Accent Bar 2">
          <a:extLst xmlns:a="http://schemas.openxmlformats.org/drawingml/2006/main">
            <a:ext uri="{FF2B5EF4-FFF2-40B4-BE49-F238E27FC236}">
              <a16:creationId xmlns:a16="http://schemas.microsoft.com/office/drawing/2014/main" id="{A687628F-F72E-4B63-9B99-FE1F2ABD878B}"/>
            </a:ext>
          </a:extLst>
        </cdr:cNvPr>
        <cdr:cNvSpPr/>
      </cdr:nvSpPr>
      <cdr:spPr>
        <a:xfrm xmlns:a="http://schemas.openxmlformats.org/drawingml/2006/main">
          <a:off x="5008731" y="892314"/>
          <a:ext cx="724629" cy="439738"/>
        </a:xfrm>
        <a:prstGeom xmlns:a="http://schemas.openxmlformats.org/drawingml/2006/main"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98805"/>
            <a:gd name="adj6" fmla="val -58266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>
              <a:solidFill>
                <a:schemeClr val="tx1"/>
              </a:solidFill>
            </a:rPr>
            <a:t>Required</a:t>
          </a:r>
        </a:p>
        <a:p xmlns:a="http://schemas.openxmlformats.org/drawingml/2006/main">
          <a:pPr algn="ctr"/>
          <a:r>
            <a:rPr lang="en-US">
              <a:solidFill>
                <a:schemeClr val="tx1"/>
              </a:solidFill>
            </a:rPr>
            <a:t>strength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</xdr:colOff>
      <xdr:row>38</xdr:row>
      <xdr:rowOff>52387</xdr:rowOff>
    </xdr:from>
    <xdr:to>
      <xdr:col>24</xdr:col>
      <xdr:colOff>338137</xdr:colOff>
      <xdr:row>57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67565C-D72E-4F23-90F2-4116AC3BA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180975</xdr:colOff>
      <xdr:row>40</xdr:row>
      <xdr:rowOff>123824</xdr:rowOff>
    </xdr:from>
    <xdr:to>
      <xdr:col>20</xdr:col>
      <xdr:colOff>314325</xdr:colOff>
      <xdr:row>44</xdr:row>
      <xdr:rowOff>82825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697B77A0-7268-42E6-953C-2AE069FFC3D8}"/>
            </a:ext>
          </a:extLst>
        </xdr:cNvPr>
        <xdr:cNvSpPr/>
      </xdr:nvSpPr>
      <xdr:spPr>
        <a:xfrm>
          <a:off x="12496800" y="7743824"/>
          <a:ext cx="133350" cy="721001"/>
        </a:xfrm>
        <a:prstGeom prst="upDown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0.27324</cdr:x>
      <cdr:y>0.1862</cdr:y>
    </cdr:from>
    <cdr:to>
      <cdr:x>0.45112</cdr:x>
      <cdr:y>0.3138</cdr:y>
    </cdr:to>
    <cdr:sp macro="" textlink="">
      <cdr:nvSpPr>
        <cdr:cNvPr id="2" name="Callout: Bent Line with Border and Accent Bar 1">
          <a:extLst xmlns:a="http://schemas.openxmlformats.org/drawingml/2006/main">
            <a:ext uri="{FF2B5EF4-FFF2-40B4-BE49-F238E27FC236}">
              <a16:creationId xmlns:a16="http://schemas.microsoft.com/office/drawing/2014/main" id="{ABFC7C7F-A4E6-4901-A55E-CC6FA8B457BF}"/>
            </a:ext>
          </a:extLst>
        </cdr:cNvPr>
        <cdr:cNvSpPr/>
      </cdr:nvSpPr>
      <cdr:spPr>
        <a:xfrm xmlns:a="http://schemas.openxmlformats.org/drawingml/2006/main" flipH="1">
          <a:off x="1622087" y="681037"/>
          <a:ext cx="1056023" cy="466725"/>
        </a:xfrm>
        <a:prstGeom xmlns:a="http://schemas.openxmlformats.org/drawingml/2006/main"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6451"/>
            <a:gd name="adj6" fmla="val -62749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pPr algn="ctr"/>
          <a:r>
            <a:rPr lang="en-US">
              <a:solidFill>
                <a:schemeClr val="tx1"/>
              </a:solidFill>
            </a:rPr>
            <a:t>Required cover thickness</a:t>
          </a:r>
        </a:p>
      </cdr:txBody>
    </cdr:sp>
  </cdr:relSizeAnchor>
  <cdr:relSizeAnchor xmlns:cdr="http://schemas.openxmlformats.org/drawingml/2006/chartDrawing">
    <cdr:from>
      <cdr:x>0.84371</cdr:x>
      <cdr:y>0.24396</cdr:y>
    </cdr:from>
    <cdr:to>
      <cdr:x>0.96577</cdr:x>
      <cdr:y>0.36419</cdr:y>
    </cdr:to>
    <cdr:sp macro="" textlink="">
      <cdr:nvSpPr>
        <cdr:cNvPr id="3" name="Callout: Bent Line with Border and Accent Bar 2">
          <a:extLst xmlns:a="http://schemas.openxmlformats.org/drawingml/2006/main">
            <a:ext uri="{FF2B5EF4-FFF2-40B4-BE49-F238E27FC236}">
              <a16:creationId xmlns:a16="http://schemas.microsoft.com/office/drawing/2014/main" id="{A687628F-F72E-4B63-9B99-FE1F2ABD878B}"/>
            </a:ext>
          </a:extLst>
        </cdr:cNvPr>
        <cdr:cNvSpPr/>
      </cdr:nvSpPr>
      <cdr:spPr>
        <a:xfrm xmlns:a="http://schemas.openxmlformats.org/drawingml/2006/main">
          <a:off x="5008731" y="892314"/>
          <a:ext cx="724629" cy="439738"/>
        </a:xfrm>
        <a:prstGeom xmlns:a="http://schemas.openxmlformats.org/drawingml/2006/main"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-98805"/>
            <a:gd name="adj6" fmla="val -58266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>
              <a:lumMod val="60000"/>
              <a:lumOff val="4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>
              <a:solidFill>
                <a:schemeClr val="tx1"/>
              </a:solidFill>
            </a:rPr>
            <a:t>Required</a:t>
          </a:r>
        </a:p>
        <a:p xmlns:a="http://schemas.openxmlformats.org/drawingml/2006/main">
          <a:pPr algn="ctr"/>
          <a:r>
            <a:rPr lang="en-US">
              <a:solidFill>
                <a:schemeClr val="tx1"/>
              </a:solidFill>
            </a:rPr>
            <a:t>strength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109</xdr:row>
      <xdr:rowOff>47625</xdr:rowOff>
    </xdr:from>
    <xdr:to>
      <xdr:col>21</xdr:col>
      <xdr:colOff>476250</xdr:colOff>
      <xdr:row>118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5FCA24-8230-4D2E-A40F-A75283669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117</xdr:row>
      <xdr:rowOff>123825</xdr:rowOff>
    </xdr:from>
    <xdr:to>
      <xdr:col>16</xdr:col>
      <xdr:colOff>552450</xdr:colOff>
      <xdr:row>127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93DCBC-8D66-4EDD-A199-FF25379A4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538162</xdr:colOff>
      <xdr:row>131</xdr:row>
      <xdr:rowOff>180975</xdr:rowOff>
    </xdr:from>
    <xdr:to>
      <xdr:col>18</xdr:col>
      <xdr:colOff>461962</xdr:colOff>
      <xdr:row>141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2E9549D-0BA6-48A6-9DD4-906DC8B82F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600075</xdr:colOff>
      <xdr:row>159</xdr:row>
      <xdr:rowOff>57150</xdr:rowOff>
    </xdr:from>
    <xdr:to>
      <xdr:col>18</xdr:col>
      <xdr:colOff>523875</xdr:colOff>
      <xdr:row>168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BE92CA-4B7B-4E5D-978A-253AC6B02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600075</xdr:colOff>
      <xdr:row>173</xdr:row>
      <xdr:rowOff>57150</xdr:rowOff>
    </xdr:from>
    <xdr:to>
      <xdr:col>20</xdr:col>
      <xdr:colOff>123825</xdr:colOff>
      <xdr:row>186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0114CF9-D01C-4073-B128-6CEF061CE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133350</xdr:colOff>
      <xdr:row>186</xdr:row>
      <xdr:rowOff>95250</xdr:rowOff>
    </xdr:from>
    <xdr:to>
      <xdr:col>20</xdr:col>
      <xdr:colOff>333375</xdr:colOff>
      <xdr:row>198</xdr:row>
      <xdr:rowOff>180975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28B05A9-1F6A-446A-8CB6-B43BBD08B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180975</xdr:colOff>
      <xdr:row>80</xdr:row>
      <xdr:rowOff>28575</xdr:rowOff>
    </xdr:from>
    <xdr:to>
      <xdr:col>22</xdr:col>
      <xdr:colOff>523875</xdr:colOff>
      <xdr:row>89</xdr:row>
      <xdr:rowOff>142875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C713F9C-570A-4BB4-BD29-9E350698C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242887</xdr:colOff>
      <xdr:row>1</xdr:row>
      <xdr:rowOff>76200</xdr:rowOff>
    </xdr:from>
    <xdr:to>
      <xdr:col>30</xdr:col>
      <xdr:colOff>166687</xdr:colOff>
      <xdr:row>11</xdr:row>
      <xdr:rowOff>0</xdr:rowOff>
    </xdr:to>
    <xdr:graphicFrame macro="">
      <xdr:nvGraphicFramePr>
        <xdr:cNvPr id="20" name="Chart 1">
          <a:extLst>
            <a:ext uri="{FF2B5EF4-FFF2-40B4-BE49-F238E27FC236}">
              <a16:creationId xmlns:a16="http://schemas.microsoft.com/office/drawing/2014/main" id="{C4B749B6-5323-4697-816F-C6030733D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423862</xdr:colOff>
      <xdr:row>14</xdr:row>
      <xdr:rowOff>52387</xdr:rowOff>
    </xdr:from>
    <xdr:to>
      <xdr:col>30</xdr:col>
      <xdr:colOff>347662</xdr:colOff>
      <xdr:row>23</xdr:row>
      <xdr:rowOff>166687</xdr:rowOff>
    </xdr:to>
    <xdr:graphicFrame macro="">
      <xdr:nvGraphicFramePr>
        <xdr:cNvPr id="21" name="Chart 1">
          <a:extLst>
            <a:ext uri="{FF2B5EF4-FFF2-40B4-BE49-F238E27FC236}">
              <a16:creationId xmlns:a16="http://schemas.microsoft.com/office/drawing/2014/main" id="{7F7ABC7B-402C-4E9D-B846-102598CEC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423862</xdr:colOff>
      <xdr:row>28</xdr:row>
      <xdr:rowOff>42862</xdr:rowOff>
    </xdr:from>
    <xdr:to>
      <xdr:col>30</xdr:col>
      <xdr:colOff>347662</xdr:colOff>
      <xdr:row>37</xdr:row>
      <xdr:rowOff>119062</xdr:rowOff>
    </xdr:to>
    <xdr:graphicFrame macro="">
      <xdr:nvGraphicFramePr>
        <xdr:cNvPr id="22" name="Chart 1">
          <a:extLst>
            <a:ext uri="{FF2B5EF4-FFF2-40B4-BE49-F238E27FC236}">
              <a16:creationId xmlns:a16="http://schemas.microsoft.com/office/drawing/2014/main" id="{5EA258A5-7025-4562-810F-910713601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280987</xdr:colOff>
      <xdr:row>36</xdr:row>
      <xdr:rowOff>38100</xdr:rowOff>
    </xdr:from>
    <xdr:to>
      <xdr:col>23</xdr:col>
      <xdr:colOff>14287</xdr:colOff>
      <xdr:row>45</xdr:row>
      <xdr:rowOff>152400</xdr:rowOff>
    </xdr:to>
    <xdr:graphicFrame macro="">
      <xdr:nvGraphicFramePr>
        <xdr:cNvPr id="23" name="Chart 1">
          <a:extLst>
            <a:ext uri="{FF2B5EF4-FFF2-40B4-BE49-F238E27FC236}">
              <a16:creationId xmlns:a16="http://schemas.microsoft.com/office/drawing/2014/main" id="{116CFD2E-16C7-408E-BDB3-233E5BD8B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452437</xdr:colOff>
      <xdr:row>46</xdr:row>
      <xdr:rowOff>33337</xdr:rowOff>
    </xdr:from>
    <xdr:to>
      <xdr:col>30</xdr:col>
      <xdr:colOff>376237</xdr:colOff>
      <xdr:row>55</xdr:row>
      <xdr:rowOff>147637</xdr:rowOff>
    </xdr:to>
    <xdr:graphicFrame macro="">
      <xdr:nvGraphicFramePr>
        <xdr:cNvPr id="24" name="Chart 1">
          <a:extLst>
            <a:ext uri="{FF2B5EF4-FFF2-40B4-BE49-F238E27FC236}">
              <a16:creationId xmlns:a16="http://schemas.microsoft.com/office/drawing/2014/main" id="{1CF3B0CA-C50F-4CE7-8F63-FA1C23FD8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233362</xdr:colOff>
      <xdr:row>56</xdr:row>
      <xdr:rowOff>42861</xdr:rowOff>
    </xdr:from>
    <xdr:to>
      <xdr:col>34</xdr:col>
      <xdr:colOff>157162</xdr:colOff>
      <xdr:row>65</xdr:row>
      <xdr:rowOff>157161</xdr:rowOff>
    </xdr:to>
    <xdr:graphicFrame macro="">
      <xdr:nvGraphicFramePr>
        <xdr:cNvPr id="25" name="Chart 1">
          <a:extLst>
            <a:ext uri="{FF2B5EF4-FFF2-40B4-BE49-F238E27FC236}">
              <a16:creationId xmlns:a16="http://schemas.microsoft.com/office/drawing/2014/main" id="{2E84F388-3D45-4CB3-8340-C6DEDC755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428625</xdr:colOff>
      <xdr:row>66</xdr:row>
      <xdr:rowOff>138112</xdr:rowOff>
    </xdr:from>
    <xdr:to>
      <xdr:col>30</xdr:col>
      <xdr:colOff>352425</xdr:colOff>
      <xdr:row>76</xdr:row>
      <xdr:rowOff>61912</xdr:rowOff>
    </xdr:to>
    <xdr:graphicFrame macro="">
      <xdr:nvGraphicFramePr>
        <xdr:cNvPr id="28" name="Chart 1">
          <a:extLst>
            <a:ext uri="{FF2B5EF4-FFF2-40B4-BE49-F238E27FC236}">
              <a16:creationId xmlns:a16="http://schemas.microsoft.com/office/drawing/2014/main" id="{35634C11-6B3E-4CC0-AB72-DC506147A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290512</xdr:colOff>
      <xdr:row>95</xdr:row>
      <xdr:rowOff>109537</xdr:rowOff>
    </xdr:from>
    <xdr:to>
      <xdr:col>33</xdr:col>
      <xdr:colOff>214312</xdr:colOff>
      <xdr:row>105</xdr:row>
      <xdr:rowOff>33337</xdr:rowOff>
    </xdr:to>
    <xdr:graphicFrame macro="">
      <xdr:nvGraphicFramePr>
        <xdr:cNvPr id="29" name="Chart 1">
          <a:extLst>
            <a:ext uri="{FF2B5EF4-FFF2-40B4-BE49-F238E27FC236}">
              <a16:creationId xmlns:a16="http://schemas.microsoft.com/office/drawing/2014/main" id="{067BE9E1-3384-4F42-9B59-509B70511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442912</xdr:colOff>
      <xdr:row>144</xdr:row>
      <xdr:rowOff>119062</xdr:rowOff>
    </xdr:from>
    <xdr:to>
      <xdr:col>16</xdr:col>
      <xdr:colOff>366712</xdr:colOff>
      <xdr:row>154</xdr:row>
      <xdr:rowOff>42862</xdr:rowOff>
    </xdr:to>
    <xdr:graphicFrame macro="">
      <xdr:nvGraphicFramePr>
        <xdr:cNvPr id="30" name="Chart 1">
          <a:extLst>
            <a:ext uri="{FF2B5EF4-FFF2-40B4-BE49-F238E27FC236}">
              <a16:creationId xmlns:a16="http://schemas.microsoft.com/office/drawing/2014/main" id="{8A251E01-5F35-420E-A3A2-083735C4D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61912</xdr:colOff>
      <xdr:row>201</xdr:row>
      <xdr:rowOff>33337</xdr:rowOff>
    </xdr:from>
    <xdr:to>
      <xdr:col>18</xdr:col>
      <xdr:colOff>595312</xdr:colOff>
      <xdr:row>210</xdr:row>
      <xdr:rowOff>147637</xdr:rowOff>
    </xdr:to>
    <xdr:graphicFrame macro="">
      <xdr:nvGraphicFramePr>
        <xdr:cNvPr id="31" name="Chart 1">
          <a:extLst>
            <a:ext uri="{FF2B5EF4-FFF2-40B4-BE49-F238E27FC236}">
              <a16:creationId xmlns:a16="http://schemas.microsoft.com/office/drawing/2014/main" id="{7E520D03-45F8-40E7-8B23-0A1ACA6CF6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128587</xdr:colOff>
      <xdr:row>215</xdr:row>
      <xdr:rowOff>76200</xdr:rowOff>
    </xdr:from>
    <xdr:to>
      <xdr:col>19</xdr:col>
      <xdr:colOff>52387</xdr:colOff>
      <xdr:row>225</xdr:row>
      <xdr:rowOff>0</xdr:rowOff>
    </xdr:to>
    <xdr:graphicFrame macro="">
      <xdr:nvGraphicFramePr>
        <xdr:cNvPr id="26" name="Chart 1">
          <a:extLst>
            <a:ext uri="{FF2B5EF4-FFF2-40B4-BE49-F238E27FC236}">
              <a16:creationId xmlns:a16="http://schemas.microsoft.com/office/drawing/2014/main" id="{D4D98B0B-7C1D-499A-9192-0BAA9BD4F1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14</xdr:col>
      <xdr:colOff>90487</xdr:colOff>
      <xdr:row>229</xdr:row>
      <xdr:rowOff>100012</xdr:rowOff>
    </xdr:from>
    <xdr:to>
      <xdr:col>19</xdr:col>
      <xdr:colOff>14287</xdr:colOff>
      <xdr:row>239</xdr:row>
      <xdr:rowOff>23812</xdr:rowOff>
    </xdr:to>
    <xdr:graphicFrame macro="">
      <xdr:nvGraphicFramePr>
        <xdr:cNvPr id="27" name="Chart 1">
          <a:extLst>
            <a:ext uri="{FF2B5EF4-FFF2-40B4-BE49-F238E27FC236}">
              <a16:creationId xmlns:a16="http://schemas.microsoft.com/office/drawing/2014/main" id="{3F370F3E-6E40-4667-8486-BCD3171B9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600075</xdr:colOff>
      <xdr:row>243</xdr:row>
      <xdr:rowOff>57150</xdr:rowOff>
    </xdr:from>
    <xdr:to>
      <xdr:col>18</xdr:col>
      <xdr:colOff>523875</xdr:colOff>
      <xdr:row>252</xdr:row>
      <xdr:rowOff>171450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EA27099E-8458-4DE6-9106-FAD777593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24</xdr:row>
      <xdr:rowOff>238125</xdr:rowOff>
    </xdr:from>
    <xdr:to>
      <xdr:col>10</xdr:col>
      <xdr:colOff>152400</xdr:colOff>
      <xdr:row>31</xdr:row>
      <xdr:rowOff>314325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6E4BF-7DDB-471A-8A16-117BD51EA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381000</xdr:colOff>
      <xdr:row>24</xdr:row>
      <xdr:rowOff>219075</xdr:rowOff>
    </xdr:from>
    <xdr:to>
      <xdr:col>14</xdr:col>
      <xdr:colOff>114301</xdr:colOff>
      <xdr:row>31</xdr:row>
      <xdr:rowOff>295275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B7E390-FB44-400F-AC88-261FB6996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190500</xdr:colOff>
      <xdr:row>16</xdr:row>
      <xdr:rowOff>95250</xdr:rowOff>
    </xdr:from>
    <xdr:to>
      <xdr:col>22</xdr:col>
      <xdr:colOff>285750</xdr:colOff>
      <xdr:row>25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AF4298-190B-4BC9-B346-A777EA9CB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623887</xdr:colOff>
      <xdr:row>25</xdr:row>
      <xdr:rowOff>152400</xdr:rowOff>
    </xdr:from>
    <xdr:to>
      <xdr:col>21</xdr:col>
      <xdr:colOff>57150</xdr:colOff>
      <xdr:row>33</xdr:row>
      <xdr:rowOff>209550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13602-46E4-4C2B-AB9B-93659634C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18</xdr:row>
      <xdr:rowOff>161925</xdr:rowOff>
    </xdr:from>
    <xdr:to>
      <xdr:col>13</xdr:col>
      <xdr:colOff>342900</xdr:colOff>
      <xdr:row>33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A4BF3-DC22-4AD7-84ED-50CDCCB2C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4</xdr:row>
      <xdr:rowOff>4762</xdr:rowOff>
    </xdr:from>
    <xdr:to>
      <xdr:col>25</xdr:col>
      <xdr:colOff>495300</xdr:colOff>
      <xdr:row>18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0F206-5A62-4D54-AC4E-078693691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433387</xdr:colOff>
      <xdr:row>37</xdr:row>
      <xdr:rowOff>66675</xdr:rowOff>
    </xdr:from>
    <xdr:to>
      <xdr:col>23</xdr:col>
      <xdr:colOff>190500</xdr:colOff>
      <xdr:row>49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4A716E-263B-4222-BF88-EE49E6A8D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557212</xdr:colOff>
      <xdr:row>50</xdr:row>
      <xdr:rowOff>171450</xdr:rowOff>
    </xdr:from>
    <xdr:to>
      <xdr:col>25</xdr:col>
      <xdr:colOff>252412</xdr:colOff>
      <xdr:row>65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C9EF0E-EFEA-4D92-A44F-BA38CA998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785812</xdr:colOff>
      <xdr:row>42</xdr:row>
      <xdr:rowOff>47625</xdr:rowOff>
    </xdr:from>
    <xdr:to>
      <xdr:col>15</xdr:col>
      <xdr:colOff>80962</xdr:colOff>
      <xdr:row>56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1997D-587C-4588-B99F-0A6A2812F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252412</xdr:colOff>
      <xdr:row>42</xdr:row>
      <xdr:rowOff>95250</xdr:rowOff>
    </xdr:from>
    <xdr:to>
      <xdr:col>24</xdr:col>
      <xdr:colOff>552450</xdr:colOff>
      <xdr:row>56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AEE64B-4B12-4B6B-91EA-8081719D0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219075</xdr:colOff>
      <xdr:row>57</xdr:row>
      <xdr:rowOff>142874</xdr:rowOff>
    </xdr:from>
    <xdr:to>
      <xdr:col>24</xdr:col>
      <xdr:colOff>571500</xdr:colOff>
      <xdr:row>75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F4008D-D2DA-42A4-8650-B669EEC272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400049</xdr:colOff>
      <xdr:row>68</xdr:row>
      <xdr:rowOff>47624</xdr:rowOff>
    </xdr:from>
    <xdr:to>
      <xdr:col>36</xdr:col>
      <xdr:colOff>371474</xdr:colOff>
      <xdr:row>78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BBFBF3-2F13-4A5E-9BF4-CFEFBDF8A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85725</xdr:colOff>
      <xdr:row>42</xdr:row>
      <xdr:rowOff>47625</xdr:rowOff>
    </xdr:from>
    <xdr:to>
      <xdr:col>40</xdr:col>
      <xdr:colOff>390525</xdr:colOff>
      <xdr:row>56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4A78898-EA71-46BC-AB79-CC01C836A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114300</xdr:colOff>
      <xdr:row>55</xdr:row>
      <xdr:rowOff>104775</xdr:rowOff>
    </xdr:from>
    <xdr:to>
      <xdr:col>40</xdr:col>
      <xdr:colOff>323850</xdr:colOff>
      <xdr:row>66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37F3A4-5AAC-4FA6-9AA5-9E562477E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Lea" id="{8E0C6D37-78A9-4EAA-A867-EE187BDA9768}" userId="S-1-5-21-3716080191-4089328496-1991867219-111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7-13T22:36:19.37" personId="{8E0C6D37-78A9-4EAA-A867-EE187BDA9768}" id="{862106D6-E945-4773-B456-004386431DE6}">
    <text>Has data, including AASHTO/AI</text>
  </threadedComment>
  <threadedComment ref="I159" dT="2021-07-14T23:23:30.33" personId="{8E0C6D37-78A9-4EAA-A867-EE187BDA9768}" id="{EAEC2604-9777-47E5-B036-AD95DADA99D9}">
    <text>Has original PCA chart with references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B1A5-255E-48ED-A9CB-3FC929BC437B}">
  <dimension ref="A1:Z38"/>
  <sheetViews>
    <sheetView topLeftCell="B12" zoomScaleNormal="100" workbookViewId="0">
      <selection activeCell="W10" sqref="W10"/>
    </sheetView>
  </sheetViews>
  <sheetFormatPr defaultRowHeight="15" x14ac:dyDescent="0.25"/>
  <cols>
    <col min="19" max="19" width="11" bestFit="1" customWidth="1"/>
  </cols>
  <sheetData>
    <row r="1" spans="1:26" x14ac:dyDescent="0.25">
      <c r="A1" t="e" cm="1">
        <f t="array" ref="A1">0.0032 * TI * (100 - Rvalue)</f>
        <v>#NAME?</v>
      </c>
      <c r="B1">
        <v>4</v>
      </c>
      <c r="P1" t="s">
        <v>0</v>
      </c>
      <c r="Q1">
        <f>(B1/9)^(1/0.119)*1000000</f>
        <v>1097.6984250222822</v>
      </c>
      <c r="R1">
        <v>38</v>
      </c>
      <c r="S1">
        <f>(Q1/0.0065)^(1/3.5)</f>
        <v>31.159561577129448</v>
      </c>
      <c r="T1">
        <f>(Q1/5.31/(5^-1.68))^(1/2.2)</f>
        <v>38.566323483768699</v>
      </c>
    </row>
    <row r="2" spans="1:26" x14ac:dyDescent="0.25">
      <c r="A2">
        <v>5</v>
      </c>
      <c r="B2">
        <f>0.0032 * MAX(B$1,5) * (100 - $A2)-0.35</f>
        <v>1.17</v>
      </c>
      <c r="C2">
        <f>B2/1.1</f>
        <v>1.0636363636363635</v>
      </c>
      <c r="D2">
        <f>(MIN(A2,78) * 3.8 + 7.7) * 0.145</f>
        <v>3.8714999999999997</v>
      </c>
      <c r="G2" t="e" cm="1">
        <f t="array" ref="G2">IF(DN &gt; 2,410*(pow(DN,-1.27)),66.66*DN*DN - 330*DN + 563.33)</f>
        <v>#NAME?</v>
      </c>
      <c r="I2" t="e" cm="1">
        <f t="array" ref="I2">(B^2 - 10000)^2/(B^2 + B*(4*D - 200) + 10000)^2</f>
        <v>#NAME?</v>
      </c>
      <c r="P2">
        <v>0</v>
      </c>
      <c r="Q2">
        <f>P2/8</f>
        <v>0</v>
      </c>
      <c r="R2">
        <f>(Q2*(400*R$1 + (100-R$1)^2))/(4*R$1*Q2+ (100-R$1)^2)</f>
        <v>0</v>
      </c>
      <c r="S2">
        <f>R2*S$1/100</f>
        <v>0</v>
      </c>
      <c r="T2">
        <f>((R$1^2 - 10000)^2/(R$1^2 + R$1*(4*Q2 - 200) + 10000)^2)</f>
        <v>4.9542143600416235</v>
      </c>
      <c r="U2">
        <f>1/((T2/100*$S$1)/8)</f>
        <v>5.1823155646677268</v>
      </c>
      <c r="V2">
        <f>IF(U2&gt; 2,410*(U2^-1.27),66.66*U2*U2 - 330*U2 + 563.33)</f>
        <v>50.738609502198308</v>
      </c>
      <c r="W2">
        <f>(1500*V2-1155)/555</f>
        <v>135.05029595188734</v>
      </c>
      <c r="X2">
        <f>P2/25/12</f>
        <v>0</v>
      </c>
      <c r="Y2">
        <f>(10^(3.04758 - 1.06166*LOG10(U2)))/6.89476</f>
        <v>28.214960781388125</v>
      </c>
      <c r="Z2">
        <f>(MIN(W2,78) * 3.8 + 7.7) * 0.145</f>
        <v>44.094499999999989</v>
      </c>
    </row>
    <row r="3" spans="1:26" x14ac:dyDescent="0.25">
      <c r="A3">
        <v>10</v>
      </c>
      <c r="B3">
        <f t="shared" ref="B3:B12" si="0">0.0032 * MAX(B$1,5) * (100 - $A3)-0.35</f>
        <v>1.0899999999999999</v>
      </c>
      <c r="C3">
        <f t="shared" ref="C3:C12" si="1">B3/1.1</f>
        <v>0.99090909090909074</v>
      </c>
      <c r="D3">
        <f t="shared" ref="D3:D12" si="2">(MIN(A3,78) * 3.8 + 7.7) * 0.145</f>
        <v>6.6265000000000001</v>
      </c>
      <c r="P3">
        <v>50</v>
      </c>
      <c r="Q3">
        <f t="shared" ref="Q3:Q18" si="3">P3/8</f>
        <v>6.25</v>
      </c>
      <c r="R3">
        <f t="shared" ref="R3:R18" si="4">(Q3*(400*R$1 + (100-R$1)^2))/(4*R$1*Q3+ (100-R$1)^2)</f>
        <v>24.827909887359198</v>
      </c>
      <c r="S3">
        <f t="shared" ref="S3:S18" si="5">R3*S$1/100</f>
        <v>7.7362678696659</v>
      </c>
      <c r="T3">
        <f t="shared" ref="T3:T18" si="6">((R$1^2 - 10000)^2/(R$1^2 + R$1*(4*Q3 - 200) + 10000)^2)</f>
        <v>3.1852644341095955</v>
      </c>
      <c r="U3">
        <f t="shared" ref="U3:U18" si="7">1/((T3/100*$S$1)/8)</f>
        <v>8.0603361886722045</v>
      </c>
      <c r="V3">
        <f t="shared" ref="V3:V18" si="8">IF(U3&gt; 2,410*(U3^-1.27),66.66*U3*U3 - 330*U3 + 563.33)</f>
        <v>28.954451907016658</v>
      </c>
      <c r="W3">
        <f t="shared" ref="W3:W18" si="9">(1500*V3-1155)/555</f>
        <v>76.174194343288264</v>
      </c>
      <c r="X3">
        <f t="shared" ref="X3:X18" si="10">P3/25/12</f>
        <v>0.16666666666666666</v>
      </c>
      <c r="Y3">
        <f t="shared" ref="Y3:Y18" si="11">(10^(3.04758 - 1.06166*LOG10(U3)))/6.89476</f>
        <v>17.653139568057032</v>
      </c>
      <c r="Z3">
        <f t="shared" ref="Z3:Z18" si="12">(MIN(W3,78) * 3.8 + 7.7) * 0.145</f>
        <v>43.088481083151827</v>
      </c>
    </row>
    <row r="4" spans="1:26" x14ac:dyDescent="0.25">
      <c r="A4">
        <v>15</v>
      </c>
      <c r="B4">
        <f t="shared" si="0"/>
        <v>1.0100000000000002</v>
      </c>
      <c r="C4">
        <f t="shared" si="1"/>
        <v>0.91818181818181832</v>
      </c>
      <c r="D4">
        <f t="shared" si="2"/>
        <v>9.3814999999999991</v>
      </c>
      <c r="P4">
        <v>100</v>
      </c>
      <c r="Q4">
        <f t="shared" si="3"/>
        <v>12.5</v>
      </c>
      <c r="R4">
        <f t="shared" si="4"/>
        <v>41.443245125348191</v>
      </c>
      <c r="S4">
        <f t="shared" si="5"/>
        <v>12.913533484393568</v>
      </c>
      <c r="T4">
        <f t="shared" si="6"/>
        <v>2.2187720649281122</v>
      </c>
      <c r="U4">
        <f t="shared" si="7"/>
        <v>11.571401404666551</v>
      </c>
      <c r="V4">
        <f t="shared" si="8"/>
        <v>18.292947521023997</v>
      </c>
      <c r="W4">
        <f t="shared" si="9"/>
        <v>47.359317624389185</v>
      </c>
      <c r="X4">
        <f t="shared" si="10"/>
        <v>0.33333333333333331</v>
      </c>
      <c r="Y4">
        <f t="shared" si="11"/>
        <v>12.025593216462038</v>
      </c>
      <c r="Z4">
        <f t="shared" si="12"/>
        <v>27.211484011038436</v>
      </c>
    </row>
    <row r="5" spans="1:26" x14ac:dyDescent="0.25">
      <c r="A5">
        <v>20</v>
      </c>
      <c r="B5">
        <f t="shared" si="0"/>
        <v>0.93</v>
      </c>
      <c r="C5">
        <f t="shared" si="1"/>
        <v>0.84545454545454546</v>
      </c>
      <c r="D5">
        <f t="shared" si="2"/>
        <v>12.1365</v>
      </c>
      <c r="P5">
        <v>150</v>
      </c>
      <c r="Q5">
        <f t="shared" si="3"/>
        <v>18.75</v>
      </c>
      <c r="R5">
        <f t="shared" si="4"/>
        <v>53.342545563190917</v>
      </c>
      <c r="S5">
        <f t="shared" si="5"/>
        <v>16.621303331570807</v>
      </c>
      <c r="T5">
        <f t="shared" si="6"/>
        <v>1.633691824678067</v>
      </c>
      <c r="U5">
        <f t="shared" si="7"/>
        <v>15.715511212650771</v>
      </c>
      <c r="V5">
        <f t="shared" si="8"/>
        <v>12.400712687457343</v>
      </c>
      <c r="W5">
        <f t="shared" si="9"/>
        <v>31.434358614749577</v>
      </c>
      <c r="X5">
        <f t="shared" si="10"/>
        <v>0.5</v>
      </c>
      <c r="Y5">
        <f t="shared" si="11"/>
        <v>8.688938387186921</v>
      </c>
      <c r="Z5">
        <f t="shared" si="12"/>
        <v>18.436831596727014</v>
      </c>
    </row>
    <row r="6" spans="1:26" x14ac:dyDescent="0.25">
      <c r="A6">
        <v>25</v>
      </c>
      <c r="B6">
        <f t="shared" si="0"/>
        <v>0.85</v>
      </c>
      <c r="C6">
        <f t="shared" si="1"/>
        <v>0.7727272727272726</v>
      </c>
      <c r="D6">
        <f t="shared" si="2"/>
        <v>14.891499999999999</v>
      </c>
      <c r="P6">
        <v>200</v>
      </c>
      <c r="Q6">
        <f t="shared" si="3"/>
        <v>25</v>
      </c>
      <c r="R6">
        <f t="shared" si="4"/>
        <v>62.284144427001571</v>
      </c>
      <c r="S6">
        <f t="shared" si="5"/>
        <v>19.407466335519793</v>
      </c>
      <c r="T6">
        <f t="shared" si="6"/>
        <v>1.252853224371502</v>
      </c>
      <c r="U6">
        <f t="shared" si="7"/>
        <v>20.492665612624865</v>
      </c>
      <c r="V6">
        <f t="shared" si="8"/>
        <v>8.8522530614926751</v>
      </c>
      <c r="W6">
        <f t="shared" si="9"/>
        <v>21.843927193223447</v>
      </c>
      <c r="X6">
        <f t="shared" si="10"/>
        <v>0.66666666666666663</v>
      </c>
      <c r="Y6">
        <f t="shared" si="11"/>
        <v>6.5552495957076014</v>
      </c>
      <c r="Z6">
        <f t="shared" si="12"/>
        <v>13.152503883466117</v>
      </c>
    </row>
    <row r="7" spans="1:26" x14ac:dyDescent="0.25">
      <c r="A7">
        <v>30</v>
      </c>
      <c r="B7">
        <f t="shared" si="0"/>
        <v>0.77000000000000013</v>
      </c>
      <c r="C7">
        <f t="shared" si="1"/>
        <v>0.70000000000000007</v>
      </c>
      <c r="D7">
        <f t="shared" si="2"/>
        <v>17.6465</v>
      </c>
      <c r="P7">
        <v>250</v>
      </c>
      <c r="Q7">
        <f t="shared" si="3"/>
        <v>31.25</v>
      </c>
      <c r="R7">
        <f t="shared" si="4"/>
        <v>69.24889457761229</v>
      </c>
      <c r="S7">
        <f t="shared" si="5"/>
        <v>21.577651947392557</v>
      </c>
      <c r="T7">
        <f t="shared" si="6"/>
        <v>0.99117617223678522</v>
      </c>
      <c r="U7">
        <f t="shared" si="7"/>
        <v>25.902864604588824</v>
      </c>
      <c r="V7">
        <f t="shared" si="8"/>
        <v>6.5740371879121957</v>
      </c>
      <c r="W7">
        <f t="shared" si="9"/>
        <v>15.686586994357286</v>
      </c>
      <c r="X7">
        <f t="shared" si="10"/>
        <v>0.83333333333333337</v>
      </c>
      <c r="Y7">
        <f t="shared" si="11"/>
        <v>5.1117078673500833</v>
      </c>
      <c r="Z7">
        <f t="shared" si="12"/>
        <v>9.7598094338908634</v>
      </c>
    </row>
    <row r="8" spans="1:26" x14ac:dyDescent="0.25">
      <c r="A8">
        <v>35</v>
      </c>
      <c r="B8">
        <f t="shared" si="0"/>
        <v>0.69000000000000006</v>
      </c>
      <c r="C8">
        <f t="shared" si="1"/>
        <v>0.62727272727272732</v>
      </c>
      <c r="D8">
        <f t="shared" si="2"/>
        <v>20.401499999999999</v>
      </c>
      <c r="P8">
        <v>300</v>
      </c>
      <c r="Q8">
        <f t="shared" si="3"/>
        <v>37.5</v>
      </c>
      <c r="R8">
        <f t="shared" si="4"/>
        <v>74.827116512992461</v>
      </c>
      <c r="S8">
        <f t="shared" si="5"/>
        <v>23.315801446256284</v>
      </c>
      <c r="T8">
        <f t="shared" si="6"/>
        <v>0.80367542854412688</v>
      </c>
      <c r="U8">
        <f t="shared" si="7"/>
        <v>31.946108188542667</v>
      </c>
      <c r="V8">
        <f t="shared" si="8"/>
        <v>5.0370127471235842</v>
      </c>
      <c r="W8">
        <f t="shared" si="9"/>
        <v>11.532466884117795</v>
      </c>
      <c r="X8">
        <f t="shared" si="10"/>
        <v>1</v>
      </c>
      <c r="Y8">
        <f t="shared" si="11"/>
        <v>4.0914804201841912</v>
      </c>
      <c r="Z8">
        <f t="shared" si="12"/>
        <v>7.4708892531489051</v>
      </c>
    </row>
    <row r="9" spans="1:26" ht="18.75" customHeight="1" x14ac:dyDescent="0.25">
      <c r="A9">
        <v>40</v>
      </c>
      <c r="B9">
        <f t="shared" si="0"/>
        <v>0.61</v>
      </c>
      <c r="C9">
        <f t="shared" si="1"/>
        <v>0.55454545454545445</v>
      </c>
      <c r="D9">
        <f t="shared" si="2"/>
        <v>23.156499999999998</v>
      </c>
      <c r="P9">
        <v>350</v>
      </c>
      <c r="Q9">
        <f t="shared" si="3"/>
        <v>43.75</v>
      </c>
      <c r="R9">
        <f t="shared" si="4"/>
        <v>79.395368782161242</v>
      </c>
      <c r="S9">
        <f t="shared" si="5"/>
        <v>24.739248825066543</v>
      </c>
      <c r="T9">
        <f t="shared" si="6"/>
        <v>0.66475166238912642</v>
      </c>
      <c r="U9">
        <f t="shared" si="7"/>
        <v>38.622396364486363</v>
      </c>
      <c r="V9">
        <f t="shared" si="8"/>
        <v>3.9582028918307248</v>
      </c>
      <c r="W9">
        <f t="shared" si="9"/>
        <v>8.6167645725154731</v>
      </c>
      <c r="X9">
        <f t="shared" si="10"/>
        <v>1.1666666666666667</v>
      </c>
      <c r="Y9">
        <f t="shared" si="11"/>
        <v>3.3448536770400072</v>
      </c>
      <c r="Z9">
        <f t="shared" si="12"/>
        <v>5.8643372794560253</v>
      </c>
    </row>
    <row r="10" spans="1:26" x14ac:dyDescent="0.25">
      <c r="A10">
        <v>45</v>
      </c>
      <c r="B10">
        <f t="shared" si="0"/>
        <v>0.53</v>
      </c>
      <c r="C10">
        <f t="shared" si="1"/>
        <v>0.48181818181818181</v>
      </c>
      <c r="D10">
        <f t="shared" si="2"/>
        <v>25.911499999999997</v>
      </c>
      <c r="P10">
        <v>400</v>
      </c>
      <c r="Q10">
        <f t="shared" si="3"/>
        <v>50</v>
      </c>
      <c r="R10">
        <f t="shared" si="4"/>
        <v>83.205173016427821</v>
      </c>
      <c r="S10">
        <f t="shared" si="5"/>
        <v>25.926367121410923</v>
      </c>
      <c r="T10">
        <f t="shared" si="6"/>
        <v>0.55896659397963744</v>
      </c>
      <c r="U10">
        <f t="shared" si="7"/>
        <v>45.931729132419946</v>
      </c>
      <c r="V10">
        <f t="shared" si="8"/>
        <v>3.1761470918319543</v>
      </c>
      <c r="W10">
        <f t="shared" si="9"/>
        <v>6.5031002481944711</v>
      </c>
      <c r="X10">
        <f t="shared" si="10"/>
        <v>1.3333333333333333</v>
      </c>
      <c r="Y10">
        <f t="shared" si="11"/>
        <v>2.7826730159216573</v>
      </c>
      <c r="Z10">
        <f t="shared" si="12"/>
        <v>4.6997082367551535</v>
      </c>
    </row>
    <row r="11" spans="1:26" x14ac:dyDescent="0.25">
      <c r="A11">
        <v>50</v>
      </c>
      <c r="B11">
        <f t="shared" si="0"/>
        <v>0.45000000000000007</v>
      </c>
      <c r="C11">
        <f t="shared" si="1"/>
        <v>0.40909090909090912</v>
      </c>
      <c r="D11">
        <f t="shared" si="2"/>
        <v>28.666499999999996</v>
      </c>
      <c r="P11">
        <v>450</v>
      </c>
      <c r="Q11">
        <f t="shared" si="3"/>
        <v>56.25</v>
      </c>
      <c r="R11">
        <f t="shared" si="4"/>
        <v>86.430934323059546</v>
      </c>
      <c r="S11">
        <f t="shared" si="5"/>
        <v>26.931500202082052</v>
      </c>
      <c r="T11">
        <f t="shared" si="6"/>
        <v>0.4765610765608318</v>
      </c>
      <c r="U11">
        <f t="shared" si="7"/>
        <v>53.874106492343387</v>
      </c>
      <c r="V11">
        <f t="shared" si="8"/>
        <v>2.5937681591938495</v>
      </c>
      <c r="W11">
        <f t="shared" si="9"/>
        <v>4.9291031329563504</v>
      </c>
      <c r="X11">
        <f t="shared" si="10"/>
        <v>1.5</v>
      </c>
      <c r="Y11">
        <f t="shared" si="11"/>
        <v>2.3492209785168385</v>
      </c>
      <c r="Z11">
        <f t="shared" si="12"/>
        <v>3.8324358262589486</v>
      </c>
    </row>
    <row r="12" spans="1:26" x14ac:dyDescent="0.25">
      <c r="A12">
        <v>78</v>
      </c>
      <c r="B12">
        <f t="shared" si="0"/>
        <v>2.0000000000000018E-3</v>
      </c>
      <c r="C12">
        <f t="shared" si="1"/>
        <v>1.8181818181818197E-3</v>
      </c>
      <c r="D12">
        <f t="shared" si="2"/>
        <v>44.094499999999989</v>
      </c>
      <c r="P12">
        <v>500</v>
      </c>
      <c r="Q12">
        <f t="shared" si="3"/>
        <v>62.5</v>
      </c>
      <c r="R12">
        <f t="shared" si="4"/>
        <v>89.197392086330936</v>
      </c>
      <c r="S12">
        <f t="shared" si="5"/>
        <v>27.793516312333878</v>
      </c>
      <c r="T12">
        <f t="shared" si="6"/>
        <v>0.41112083354898815</v>
      </c>
      <c r="U12">
        <f t="shared" si="7"/>
        <v>62.449528444256714</v>
      </c>
      <c r="V12">
        <f t="shared" si="8"/>
        <v>2.1501156448021321</v>
      </c>
      <c r="W12">
        <f t="shared" si="9"/>
        <v>3.7300422832490052</v>
      </c>
      <c r="X12">
        <f t="shared" si="10"/>
        <v>1.6666666666666667</v>
      </c>
      <c r="Y12">
        <f t="shared" si="11"/>
        <v>2.0082573033400086</v>
      </c>
      <c r="Z12">
        <f t="shared" si="12"/>
        <v>3.1717532980702012</v>
      </c>
    </row>
    <row r="13" spans="1:26" x14ac:dyDescent="0.25">
      <c r="P13">
        <v>550</v>
      </c>
      <c r="Q13">
        <f t="shared" si="3"/>
        <v>68.75</v>
      </c>
      <c r="R13">
        <f t="shared" si="4"/>
        <v>91.596124247936203</v>
      </c>
      <c r="S13">
        <f t="shared" si="5"/>
        <v>28.540950737299678</v>
      </c>
      <c r="T13">
        <f t="shared" si="6"/>
        <v>0.35828943013248205</v>
      </c>
      <c r="U13">
        <f t="shared" si="7"/>
        <v>71.657994988159885</v>
      </c>
      <c r="V13">
        <f t="shared" si="8"/>
        <v>1.8055010622788292</v>
      </c>
      <c r="W13">
        <f t="shared" si="9"/>
        <v>2.7986515196725112</v>
      </c>
      <c r="X13">
        <f t="shared" si="10"/>
        <v>1.8333333333333333</v>
      </c>
      <c r="Y13">
        <f t="shared" si="11"/>
        <v>1.7354039268244275</v>
      </c>
      <c r="Z13">
        <f t="shared" si="12"/>
        <v>2.6585569873395536</v>
      </c>
    </row>
    <row r="14" spans="1:26" x14ac:dyDescent="0.25">
      <c r="P14">
        <v>600</v>
      </c>
      <c r="Q14">
        <f t="shared" si="3"/>
        <v>75</v>
      </c>
      <c r="R14">
        <f t="shared" si="4"/>
        <v>93.695880346365783</v>
      </c>
      <c r="S14">
        <f t="shared" si="5"/>
        <v>29.195225531759373</v>
      </c>
      <c r="T14">
        <f t="shared" si="6"/>
        <v>0.3150240217365784</v>
      </c>
      <c r="U14">
        <f t="shared" si="7"/>
        <v>81.499506124052957</v>
      </c>
      <c r="V14">
        <f t="shared" si="8"/>
        <v>1.533264342800964</v>
      </c>
      <c r="W14">
        <f t="shared" si="9"/>
        <v>2.0628766021647671</v>
      </c>
      <c r="X14">
        <f t="shared" si="10"/>
        <v>2</v>
      </c>
      <c r="Y14">
        <f t="shared" si="11"/>
        <v>1.5137844988081834</v>
      </c>
      <c r="Z14">
        <f t="shared" si="12"/>
        <v>2.2531450077927864</v>
      </c>
    </row>
    <row r="15" spans="1:26" x14ac:dyDescent="0.25">
      <c r="P15">
        <v>650</v>
      </c>
      <c r="Q15">
        <f t="shared" si="3"/>
        <v>81.25</v>
      </c>
      <c r="R15">
        <f t="shared" si="4"/>
        <v>95.549277510188958</v>
      </c>
      <c r="S15">
        <f t="shared" si="5"/>
        <v>29.772735962289627</v>
      </c>
      <c r="T15">
        <f t="shared" si="6"/>
        <v>0.2791472038070445</v>
      </c>
      <c r="U15">
        <f t="shared" si="7"/>
        <v>91.974061851935886</v>
      </c>
      <c r="V15">
        <f t="shared" si="8"/>
        <v>1.3150093508912546</v>
      </c>
      <c r="W15">
        <f t="shared" si="9"/>
        <v>1.4729982456520394</v>
      </c>
      <c r="X15">
        <f t="shared" si="10"/>
        <v>2.1666666666666665</v>
      </c>
      <c r="Y15">
        <f t="shared" si="11"/>
        <v>1.3314224433290802</v>
      </c>
      <c r="Z15">
        <f t="shared" si="12"/>
        <v>1.9281220333542737</v>
      </c>
    </row>
    <row r="16" spans="1:26" x14ac:dyDescent="0.25">
      <c r="P16">
        <v>700</v>
      </c>
      <c r="Q16">
        <f t="shared" si="3"/>
        <v>87.5</v>
      </c>
      <c r="R16">
        <f t="shared" si="4"/>
        <v>97.197270181987861</v>
      </c>
      <c r="S16">
        <f t="shared" si="5"/>
        <v>30.286243253645388</v>
      </c>
      <c r="T16">
        <f t="shared" si="6"/>
        <v>0.24906759987971561</v>
      </c>
      <c r="U16">
        <f t="shared" si="7"/>
        <v>103.08166217180869</v>
      </c>
      <c r="V16">
        <f t="shared" si="8"/>
        <v>1.1377411405676072</v>
      </c>
      <c r="W16">
        <f t="shared" si="9"/>
        <v>0.99389497450704656</v>
      </c>
      <c r="X16">
        <f t="shared" si="10"/>
        <v>2.3333333333333335</v>
      </c>
      <c r="Y16">
        <f t="shared" si="11"/>
        <v>1.1796323331244705</v>
      </c>
      <c r="Z16">
        <f t="shared" si="12"/>
        <v>1.6641361309533824</v>
      </c>
    </row>
    <row r="17" spans="15:26" x14ac:dyDescent="0.25">
      <c r="P17">
        <v>750</v>
      </c>
      <c r="Q17">
        <f t="shared" si="3"/>
        <v>93.75</v>
      </c>
      <c r="R17">
        <f t="shared" si="4"/>
        <v>98.672211782911461</v>
      </c>
      <c r="S17">
        <f t="shared" si="5"/>
        <v>30.745828590011875</v>
      </c>
      <c r="T17">
        <f t="shared" si="6"/>
        <v>0.22360029893873426</v>
      </c>
      <c r="U17">
        <f t="shared" si="7"/>
        <v>114.82230708367139</v>
      </c>
      <c r="V17">
        <f t="shared" si="8"/>
        <v>0.99208868267585604</v>
      </c>
      <c r="W17">
        <f t="shared" si="9"/>
        <v>0.60023968290771901</v>
      </c>
      <c r="X17">
        <f t="shared" si="10"/>
        <v>2.5</v>
      </c>
      <c r="Y17">
        <f t="shared" si="11"/>
        <v>1.0519942307983177</v>
      </c>
      <c r="Z17">
        <f t="shared" si="12"/>
        <v>1.4472320652821531</v>
      </c>
    </row>
    <row r="18" spans="15:26" x14ac:dyDescent="0.25">
      <c r="P18">
        <v>800</v>
      </c>
      <c r="Q18">
        <f t="shared" si="3"/>
        <v>100</v>
      </c>
      <c r="R18">
        <f t="shared" si="4"/>
        <v>100</v>
      </c>
      <c r="S18">
        <f t="shared" si="5"/>
        <v>31.159561577129448</v>
      </c>
      <c r="T18">
        <f t="shared" si="6"/>
        <v>0.20184835118672548</v>
      </c>
      <c r="U18">
        <f t="shared" si="7"/>
        <v>127.19599658752392</v>
      </c>
      <c r="V18">
        <f t="shared" si="8"/>
        <v>0.87116934494379084</v>
      </c>
      <c r="W18">
        <f t="shared" si="9"/>
        <v>0.27343066201024568</v>
      </c>
      <c r="X18">
        <f t="shared" si="10"/>
        <v>2.6666666666666665</v>
      </c>
      <c r="Y18">
        <f t="shared" si="11"/>
        <v>0.94368178370381472</v>
      </c>
      <c r="Z18">
        <f t="shared" si="12"/>
        <v>1.2671602947676452</v>
      </c>
    </row>
    <row r="19" spans="15:26" x14ac:dyDescent="0.25">
      <c r="S19">
        <f>800/S1</f>
        <v>25.674302188744061</v>
      </c>
    </row>
    <row r="21" spans="15:26" x14ac:dyDescent="0.25">
      <c r="U21">
        <f>10^((3.04758-LOG10(V21*6.89476))/1.06166)</f>
        <v>5.2197820564392954</v>
      </c>
      <c r="V21">
        <v>28</v>
      </c>
      <c r="W21">
        <f t="shared" ref="W21:W38" si="13">X21*12*25.4</f>
        <v>0</v>
      </c>
      <c r="X21">
        <v>0</v>
      </c>
    </row>
    <row r="22" spans="15:26" x14ac:dyDescent="0.25">
      <c r="U22">
        <f t="shared" ref="U22:U38" si="14">10^((3.04758-LOG10(V22*6.89476))/1.06166)</f>
        <v>5.2197820564392954</v>
      </c>
      <c r="V22">
        <v>28</v>
      </c>
      <c r="W22">
        <f t="shared" si="13"/>
        <v>106.67999999999998</v>
      </c>
      <c r="X22">
        <v>0.35</v>
      </c>
    </row>
    <row r="23" spans="15:26" x14ac:dyDescent="0.25">
      <c r="Q23">
        <f>10^((3.04758-LOG10(R23*6.89476))/1.06166)</f>
        <v>5.2197820564392954</v>
      </c>
      <c r="R23">
        <v>28</v>
      </c>
      <c r="S23">
        <f t="shared" ref="S23:S38" si="15">T23*12*25.4</f>
        <v>0</v>
      </c>
      <c r="T23">
        <v>0</v>
      </c>
      <c r="U23">
        <f t="shared" si="14"/>
        <v>11.594645746301076</v>
      </c>
      <c r="V23">
        <v>12</v>
      </c>
      <c r="W23">
        <f t="shared" si="13"/>
        <v>106.67999999999998</v>
      </c>
      <c r="X23">
        <v>0.35</v>
      </c>
    </row>
    <row r="24" spans="15:26" x14ac:dyDescent="0.25">
      <c r="Q24">
        <f t="shared" ref="Q24:Q38" si="16">10^((3.04758-LOG10(R24*6.89476))/1.06166)</f>
        <v>5.2197820564392954</v>
      </c>
      <c r="R24">
        <v>28</v>
      </c>
      <c r="S24">
        <f t="shared" si="15"/>
        <v>198.12</v>
      </c>
      <c r="T24">
        <v>0.65</v>
      </c>
      <c r="U24">
        <f t="shared" si="14"/>
        <v>11.594645746301076</v>
      </c>
      <c r="V24">
        <v>12</v>
      </c>
      <c r="W24">
        <f t="shared" si="13"/>
        <v>198.12</v>
      </c>
      <c r="X24">
        <v>0.65</v>
      </c>
    </row>
    <row r="25" spans="15:26" x14ac:dyDescent="0.25">
      <c r="O25">
        <f>P25*12*25.4</f>
        <v>0</v>
      </c>
      <c r="P25">
        <v>0</v>
      </c>
      <c r="Q25">
        <f t="shared" si="16"/>
        <v>19.263952774988418</v>
      </c>
      <c r="R25">
        <v>7</v>
      </c>
      <c r="S25">
        <f t="shared" si="15"/>
        <v>198.12</v>
      </c>
      <c r="T25">
        <f t="shared" ref="T25:T38" si="17">P25+T$24</f>
        <v>0.65</v>
      </c>
      <c r="U25">
        <f t="shared" si="14"/>
        <v>19.263952774988418</v>
      </c>
      <c r="V25">
        <v>7</v>
      </c>
      <c r="W25">
        <f t="shared" si="13"/>
        <v>198.12</v>
      </c>
      <c r="X25">
        <f t="shared" ref="X25:X38" si="18">P25+X$24</f>
        <v>0.65</v>
      </c>
    </row>
    <row r="26" spans="15:26" x14ac:dyDescent="0.25">
      <c r="O26">
        <f t="shared" ref="O26:O38" si="19">P26*12*25.4</f>
        <v>50.8</v>
      </c>
      <c r="P26">
        <v>0.16666666666666666</v>
      </c>
      <c r="Q26">
        <f t="shared" si="16"/>
        <v>19.263952774988418</v>
      </c>
      <c r="R26">
        <v>7</v>
      </c>
      <c r="S26">
        <f t="shared" si="15"/>
        <v>248.92000000000002</v>
      </c>
      <c r="T26">
        <f t="shared" si="17"/>
        <v>0.81666666666666665</v>
      </c>
      <c r="U26">
        <f t="shared" si="14"/>
        <v>19.263952774988418</v>
      </c>
      <c r="V26">
        <v>7</v>
      </c>
      <c r="W26">
        <f t="shared" si="13"/>
        <v>248.92000000000002</v>
      </c>
      <c r="X26">
        <f t="shared" si="18"/>
        <v>0.81666666666666665</v>
      </c>
    </row>
    <row r="27" spans="15:26" x14ac:dyDescent="0.25">
      <c r="O27">
        <f t="shared" si="19"/>
        <v>101.6</v>
      </c>
      <c r="P27">
        <v>0.33333333333333331</v>
      </c>
      <c r="Q27">
        <f t="shared" si="16"/>
        <v>19.263952774988418</v>
      </c>
      <c r="R27">
        <v>7</v>
      </c>
      <c r="S27">
        <f t="shared" si="15"/>
        <v>299.72000000000003</v>
      </c>
      <c r="T27">
        <f t="shared" si="17"/>
        <v>0.98333333333333339</v>
      </c>
      <c r="U27">
        <f t="shared" si="14"/>
        <v>19.263952774988418</v>
      </c>
      <c r="V27">
        <v>7</v>
      </c>
      <c r="W27">
        <f t="shared" si="13"/>
        <v>299.72000000000003</v>
      </c>
      <c r="X27">
        <f t="shared" si="18"/>
        <v>0.98333333333333339</v>
      </c>
    </row>
    <row r="28" spans="15:26" x14ac:dyDescent="0.25">
      <c r="O28">
        <f t="shared" si="19"/>
        <v>152.39999999999998</v>
      </c>
      <c r="P28">
        <v>0.5</v>
      </c>
      <c r="Q28">
        <f t="shared" si="16"/>
        <v>19.263952774988418</v>
      </c>
      <c r="R28">
        <v>7</v>
      </c>
      <c r="S28">
        <f t="shared" si="15"/>
        <v>350.51999999999992</v>
      </c>
      <c r="T28">
        <f t="shared" si="17"/>
        <v>1.1499999999999999</v>
      </c>
      <c r="U28">
        <f t="shared" si="14"/>
        <v>19.263952774988418</v>
      </c>
      <c r="V28">
        <v>7</v>
      </c>
      <c r="W28">
        <f t="shared" si="13"/>
        <v>350.51999999999992</v>
      </c>
      <c r="X28">
        <f t="shared" si="18"/>
        <v>1.1499999999999999</v>
      </c>
    </row>
    <row r="29" spans="15:26" x14ac:dyDescent="0.25">
      <c r="O29">
        <f t="shared" si="19"/>
        <v>243.84000000000003</v>
      </c>
      <c r="P29">
        <v>0.8</v>
      </c>
      <c r="Q29">
        <f t="shared" si="16"/>
        <v>19.263952774988418</v>
      </c>
      <c r="R29">
        <v>7</v>
      </c>
      <c r="S29">
        <f t="shared" si="15"/>
        <v>441.96000000000004</v>
      </c>
      <c r="T29">
        <f t="shared" si="17"/>
        <v>1.4500000000000002</v>
      </c>
      <c r="U29">
        <f t="shared" si="14"/>
        <v>19.263952774988418</v>
      </c>
      <c r="V29">
        <v>7</v>
      </c>
      <c r="W29">
        <f t="shared" si="13"/>
        <v>441.96000000000004</v>
      </c>
      <c r="X29">
        <f t="shared" si="18"/>
        <v>1.4500000000000002</v>
      </c>
    </row>
    <row r="30" spans="15:26" x14ac:dyDescent="0.25">
      <c r="O30">
        <f t="shared" si="19"/>
        <v>243.84000000000003</v>
      </c>
      <c r="P30">
        <v>0.8</v>
      </c>
      <c r="Q30">
        <f t="shared" si="16"/>
        <v>29.206965589693802</v>
      </c>
      <c r="R30">
        <v>4.5</v>
      </c>
      <c r="S30">
        <f t="shared" si="15"/>
        <v>441.96000000000004</v>
      </c>
      <c r="T30">
        <f t="shared" si="17"/>
        <v>1.4500000000000002</v>
      </c>
      <c r="U30">
        <f t="shared" si="14"/>
        <v>29.206965589693802</v>
      </c>
      <c r="V30">
        <v>4.5</v>
      </c>
      <c r="W30">
        <f t="shared" si="13"/>
        <v>441.96000000000004</v>
      </c>
      <c r="X30">
        <f t="shared" si="18"/>
        <v>1.4500000000000002</v>
      </c>
    </row>
    <row r="31" spans="15:26" x14ac:dyDescent="0.25">
      <c r="O31">
        <f t="shared" si="19"/>
        <v>254</v>
      </c>
      <c r="P31">
        <v>0.83333333333333337</v>
      </c>
      <c r="Q31">
        <f t="shared" si="16"/>
        <v>29.206965589693802</v>
      </c>
      <c r="R31">
        <v>4.5</v>
      </c>
      <c r="S31">
        <f t="shared" si="15"/>
        <v>452.12</v>
      </c>
      <c r="T31">
        <f t="shared" si="17"/>
        <v>1.4833333333333334</v>
      </c>
      <c r="U31">
        <f t="shared" si="14"/>
        <v>29.206965589693802</v>
      </c>
      <c r="V31">
        <v>4.5</v>
      </c>
      <c r="W31">
        <f t="shared" si="13"/>
        <v>452.12</v>
      </c>
      <c r="X31">
        <f t="shared" si="18"/>
        <v>1.4833333333333334</v>
      </c>
    </row>
    <row r="32" spans="15:26" x14ac:dyDescent="0.25">
      <c r="O32">
        <f t="shared" si="19"/>
        <v>304.79999999999995</v>
      </c>
      <c r="P32">
        <v>1</v>
      </c>
      <c r="Q32">
        <f t="shared" si="16"/>
        <v>29.206965589693802</v>
      </c>
      <c r="R32">
        <v>4.5</v>
      </c>
      <c r="S32">
        <f t="shared" si="15"/>
        <v>502.9199999999999</v>
      </c>
      <c r="T32">
        <f t="shared" si="17"/>
        <v>1.65</v>
      </c>
      <c r="U32">
        <f t="shared" si="14"/>
        <v>29.206965589693802</v>
      </c>
      <c r="V32">
        <v>4.5</v>
      </c>
      <c r="W32">
        <f t="shared" si="13"/>
        <v>502.9199999999999</v>
      </c>
      <c r="X32">
        <f t="shared" si="18"/>
        <v>1.65</v>
      </c>
    </row>
    <row r="33" spans="15:24" x14ac:dyDescent="0.25">
      <c r="O33">
        <f t="shared" si="19"/>
        <v>355.59999999999997</v>
      </c>
      <c r="P33">
        <v>1.1666666666666667</v>
      </c>
      <c r="Q33">
        <f t="shared" si="16"/>
        <v>29.206965589693802</v>
      </c>
      <c r="R33">
        <v>4.5</v>
      </c>
      <c r="S33">
        <f t="shared" si="15"/>
        <v>553.72</v>
      </c>
      <c r="T33">
        <f t="shared" si="17"/>
        <v>1.8166666666666669</v>
      </c>
      <c r="U33">
        <f t="shared" si="14"/>
        <v>29.206965589693802</v>
      </c>
      <c r="V33">
        <v>4.5</v>
      </c>
      <c r="W33">
        <f t="shared" si="13"/>
        <v>553.72</v>
      </c>
      <c r="X33">
        <f t="shared" si="18"/>
        <v>1.8166666666666669</v>
      </c>
    </row>
    <row r="34" spans="15:24" x14ac:dyDescent="0.25">
      <c r="O34">
        <f t="shared" si="19"/>
        <v>457.2</v>
      </c>
      <c r="P34">
        <v>1.5</v>
      </c>
      <c r="Q34">
        <f t="shared" si="16"/>
        <v>29.206965589693802</v>
      </c>
      <c r="R34">
        <v>4.5</v>
      </c>
      <c r="S34">
        <f t="shared" si="15"/>
        <v>655.31999999999994</v>
      </c>
      <c r="T34">
        <f t="shared" si="17"/>
        <v>2.15</v>
      </c>
      <c r="U34">
        <f t="shared" si="14"/>
        <v>29.206965589693802</v>
      </c>
      <c r="V34">
        <v>4.5</v>
      </c>
      <c r="W34">
        <f t="shared" si="13"/>
        <v>655.31999999999994</v>
      </c>
      <c r="X34">
        <f t="shared" si="18"/>
        <v>2.15</v>
      </c>
    </row>
    <row r="35" spans="15:24" x14ac:dyDescent="0.25">
      <c r="O35">
        <f t="shared" si="19"/>
        <v>457.2</v>
      </c>
      <c r="P35">
        <v>1.5</v>
      </c>
      <c r="Q35">
        <f t="shared" si="16"/>
        <v>42.790811126667968</v>
      </c>
      <c r="R35">
        <v>3</v>
      </c>
      <c r="S35">
        <f t="shared" si="15"/>
        <v>655.31999999999994</v>
      </c>
      <c r="T35">
        <f t="shared" si="17"/>
        <v>2.15</v>
      </c>
      <c r="U35">
        <f t="shared" si="14"/>
        <v>42.790811126667968</v>
      </c>
      <c r="V35">
        <v>3</v>
      </c>
      <c r="W35">
        <f t="shared" si="13"/>
        <v>655.31999999999994</v>
      </c>
      <c r="X35">
        <f t="shared" si="18"/>
        <v>2.15</v>
      </c>
    </row>
    <row r="36" spans="15:24" x14ac:dyDescent="0.25">
      <c r="O36">
        <f t="shared" si="19"/>
        <v>508</v>
      </c>
      <c r="P36">
        <v>1.6666666666666667</v>
      </c>
      <c r="Q36">
        <f t="shared" si="16"/>
        <v>42.790811126667968</v>
      </c>
      <c r="R36">
        <v>3</v>
      </c>
      <c r="S36">
        <f t="shared" si="15"/>
        <v>706.12000000000012</v>
      </c>
      <c r="T36">
        <f t="shared" si="17"/>
        <v>2.3166666666666669</v>
      </c>
      <c r="U36">
        <f t="shared" si="14"/>
        <v>42.790811126667968</v>
      </c>
      <c r="V36">
        <v>3</v>
      </c>
      <c r="W36">
        <f t="shared" si="13"/>
        <v>706.12000000000012</v>
      </c>
      <c r="X36">
        <f t="shared" si="18"/>
        <v>2.3166666666666669</v>
      </c>
    </row>
    <row r="37" spans="15:24" x14ac:dyDescent="0.25">
      <c r="O37">
        <f t="shared" si="19"/>
        <v>558.79999999999995</v>
      </c>
      <c r="P37">
        <v>1.8333333333333333</v>
      </c>
      <c r="Q37">
        <f t="shared" si="16"/>
        <v>42.790811126667968</v>
      </c>
      <c r="R37">
        <v>3</v>
      </c>
      <c r="S37">
        <f t="shared" si="15"/>
        <v>756.92</v>
      </c>
      <c r="T37">
        <f t="shared" si="17"/>
        <v>2.4833333333333334</v>
      </c>
      <c r="U37">
        <f t="shared" si="14"/>
        <v>42.790811126667968</v>
      </c>
      <c r="V37">
        <v>3</v>
      </c>
      <c r="W37">
        <f t="shared" si="13"/>
        <v>756.92</v>
      </c>
      <c r="X37">
        <f t="shared" si="18"/>
        <v>2.4833333333333334</v>
      </c>
    </row>
    <row r="38" spans="15:24" x14ac:dyDescent="0.25">
      <c r="O38">
        <f t="shared" si="19"/>
        <v>558.79999999999995</v>
      </c>
      <c r="P38">
        <v>1.8333333333333333</v>
      </c>
      <c r="Q38">
        <f t="shared" si="16"/>
        <v>42.790811126667968</v>
      </c>
      <c r="R38">
        <v>3</v>
      </c>
      <c r="S38">
        <f t="shared" si="15"/>
        <v>756.92</v>
      </c>
      <c r="T38">
        <f t="shared" si="17"/>
        <v>2.4833333333333334</v>
      </c>
      <c r="U38">
        <f t="shared" si="14"/>
        <v>42.790811126667968</v>
      </c>
      <c r="V38">
        <v>3</v>
      </c>
      <c r="W38">
        <f t="shared" si="13"/>
        <v>756.92</v>
      </c>
      <c r="X38">
        <f t="shared" si="18"/>
        <v>2.4833333333333334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E8E47-8B7E-4046-8548-F6F36428D365}">
  <dimension ref="A1:Z38"/>
  <sheetViews>
    <sheetView topLeftCell="J1" zoomScaleNormal="100" workbookViewId="0">
      <selection activeCell="Q1" sqref="Q1"/>
    </sheetView>
  </sheetViews>
  <sheetFormatPr defaultRowHeight="15" x14ac:dyDescent="0.25"/>
  <cols>
    <col min="19" max="19" width="11" bestFit="1" customWidth="1"/>
    <col min="22" max="22" width="12" bestFit="1" customWidth="1"/>
  </cols>
  <sheetData>
    <row r="1" spans="1:26" x14ac:dyDescent="0.25">
      <c r="B1">
        <v>2.5</v>
      </c>
      <c r="P1" t="s">
        <v>0</v>
      </c>
      <c r="Q1">
        <v>20</v>
      </c>
      <c r="R1">
        <v>38</v>
      </c>
      <c r="S1">
        <v>10</v>
      </c>
    </row>
    <row r="2" spans="1:26" x14ac:dyDescent="0.25">
      <c r="A2">
        <v>5</v>
      </c>
      <c r="B2">
        <f>0.0032 * MAX(B$1,5) * (100 - $A2)-0.35</f>
        <v>1.17</v>
      </c>
      <c r="C2">
        <f>B2/1.1</f>
        <v>1.0636363636363635</v>
      </c>
      <c r="D2">
        <f>(MIN(A2,78) * 3.8 + 7.7) * 0.145</f>
        <v>3.8714999999999997</v>
      </c>
      <c r="P2">
        <v>0</v>
      </c>
      <c r="Q2">
        <f>P2/8</f>
        <v>0</v>
      </c>
      <c r="R2">
        <f>(Q2*(400*R$1 + (100-R$1)^2))/(4*R$1*Q2+ (100-R$1)^2)</f>
        <v>0</v>
      </c>
      <c r="S2">
        <f>R2*S$1/100</f>
        <v>0</v>
      </c>
      <c r="T2">
        <f>((R$1^2 - 10000)^2/(R$1^2 + R$1*(4*Q2 - 200) + 10000)^2)</f>
        <v>4.9542143600416235</v>
      </c>
      <c r="U2">
        <f>1/((T2/100*$S$1)/8)</f>
        <v>16.147868094938037</v>
      </c>
      <c r="V2">
        <f>10^(2.646-0.595*LOG10(U2))</f>
        <v>84.561262828699356</v>
      </c>
      <c r="W2">
        <f>V2*0.145038</f>
        <v>12.264596438148898</v>
      </c>
      <c r="X2">
        <f>10^((LOG10(V2)-1.416)/0.608)</f>
        <v>6.9301483749221227</v>
      </c>
      <c r="Y2">
        <f>P2/25.4/12</f>
        <v>0</v>
      </c>
      <c r="Z2">
        <f>100*TANH(V2/380.6)</f>
        <v>21.859376560455349</v>
      </c>
    </row>
    <row r="3" spans="1:26" x14ac:dyDescent="0.25">
      <c r="A3">
        <v>10</v>
      </c>
      <c r="B3">
        <f t="shared" ref="B3:B12" si="0">0.0032 * MAX(B$1,5) * (100 - $A3)-0.35</f>
        <v>1.0899999999999999</v>
      </c>
      <c r="C3">
        <f t="shared" ref="C3:C12" si="1">B3/1.1</f>
        <v>0.99090909090909074</v>
      </c>
      <c r="D3">
        <f t="shared" ref="D3:D12" si="2">(MIN(A3,78) * 3.8 + 7.7) * 0.145</f>
        <v>6.6265000000000001</v>
      </c>
      <c r="P3">
        <v>50</v>
      </c>
      <c r="Q3">
        <f t="shared" ref="Q3:Q18" si="3">P3/8</f>
        <v>6.25</v>
      </c>
      <c r="R3">
        <f t="shared" ref="R3:R18" si="4">(Q3*(400*R$1 + (100-R$1)^2))/(4*R$1*Q3+ (100-R$1)^2)</f>
        <v>24.827909887359198</v>
      </c>
      <c r="S3">
        <f t="shared" ref="S3:S18" si="5">R3*S$1/100</f>
        <v>2.4827909887359199</v>
      </c>
      <c r="T3">
        <f t="shared" ref="T3:T18" si="6">((R$1^2 - 10000)^2/(R$1^2 + R$1*(4*Q3 - 200) + 10000)^2)</f>
        <v>3.1852644341095955</v>
      </c>
      <c r="U3">
        <f t="shared" ref="U3:U18" si="7">1/((T3/100*$S$1)/8)</f>
        <v>25.115654180329642</v>
      </c>
      <c r="V3">
        <f t="shared" ref="V3:V18" si="8">10^(2.646-0.595*LOG10(U3))</f>
        <v>65.017913103001987</v>
      </c>
      <c r="W3">
        <f t="shared" ref="W3:W18" si="9">V3*0.145038</f>
        <v>9.4300680806332018</v>
      </c>
      <c r="X3">
        <f t="shared" ref="X3:X18" si="10">10^((LOG10(V3)-1.416)/0.608)</f>
        <v>4.4979522940701289</v>
      </c>
      <c r="Y3">
        <f t="shared" ref="Y3:Y18" si="11">P3/25.4/12</f>
        <v>0.16404199475065617</v>
      </c>
      <c r="Z3">
        <f t="shared" ref="Z3:Z18" si="12">100*TANH(V3/380.6)</f>
        <v>16.918743923213487</v>
      </c>
    </row>
    <row r="4" spans="1:26" x14ac:dyDescent="0.25">
      <c r="A4">
        <v>15</v>
      </c>
      <c r="B4">
        <f t="shared" si="0"/>
        <v>1.0100000000000002</v>
      </c>
      <c r="C4">
        <f t="shared" si="1"/>
        <v>0.91818181818181832</v>
      </c>
      <c r="D4">
        <f t="shared" si="2"/>
        <v>9.3814999999999991</v>
      </c>
      <c r="P4">
        <v>100</v>
      </c>
      <c r="Q4">
        <f t="shared" si="3"/>
        <v>12.5</v>
      </c>
      <c r="R4">
        <f t="shared" si="4"/>
        <v>41.443245125348191</v>
      </c>
      <c r="S4">
        <f t="shared" si="5"/>
        <v>4.1443245125348191</v>
      </c>
      <c r="T4">
        <f t="shared" si="6"/>
        <v>2.2187720649281122</v>
      </c>
      <c r="U4">
        <f t="shared" si="7"/>
        <v>36.055979460238959</v>
      </c>
      <c r="V4">
        <f t="shared" si="8"/>
        <v>52.432251582403943</v>
      </c>
      <c r="W4">
        <f t="shared" si="9"/>
        <v>7.6046689050087029</v>
      </c>
      <c r="X4">
        <f t="shared" si="10"/>
        <v>3.1574730407704674</v>
      </c>
      <c r="Y4">
        <f t="shared" si="11"/>
        <v>0.32808398950131235</v>
      </c>
      <c r="Z4">
        <f t="shared" si="12"/>
        <v>13.689715472501607</v>
      </c>
    </row>
    <row r="5" spans="1:26" x14ac:dyDescent="0.25">
      <c r="A5">
        <v>20</v>
      </c>
      <c r="B5">
        <f t="shared" si="0"/>
        <v>0.93</v>
      </c>
      <c r="C5">
        <f t="shared" si="1"/>
        <v>0.84545454545454546</v>
      </c>
      <c r="D5">
        <f t="shared" si="2"/>
        <v>12.1365</v>
      </c>
      <c r="P5">
        <v>150</v>
      </c>
      <c r="Q5">
        <f t="shared" si="3"/>
        <v>18.75</v>
      </c>
      <c r="R5">
        <f t="shared" si="4"/>
        <v>53.342545563190917</v>
      </c>
      <c r="S5">
        <f t="shared" si="5"/>
        <v>5.3342545563190917</v>
      </c>
      <c r="T5">
        <f t="shared" si="6"/>
        <v>1.633691824678067</v>
      </c>
      <c r="U5">
        <f t="shared" si="7"/>
        <v>48.968843934666005</v>
      </c>
      <c r="V5">
        <f t="shared" si="8"/>
        <v>43.701635309185129</v>
      </c>
      <c r="W5">
        <f t="shared" si="9"/>
        <v>6.338397781973593</v>
      </c>
      <c r="X5">
        <f t="shared" si="10"/>
        <v>2.3401280335540684</v>
      </c>
      <c r="Y5">
        <f t="shared" si="11"/>
        <v>0.49212598425196852</v>
      </c>
      <c r="Z5">
        <f t="shared" si="12"/>
        <v>11.432102991264058</v>
      </c>
    </row>
    <row r="6" spans="1:26" x14ac:dyDescent="0.25">
      <c r="A6">
        <v>25</v>
      </c>
      <c r="B6">
        <f t="shared" si="0"/>
        <v>0.85</v>
      </c>
      <c r="C6">
        <f t="shared" si="1"/>
        <v>0.7727272727272726</v>
      </c>
      <c r="D6">
        <f t="shared" si="2"/>
        <v>14.891499999999999</v>
      </c>
      <c r="P6">
        <v>200</v>
      </c>
      <c r="Q6">
        <f t="shared" si="3"/>
        <v>25</v>
      </c>
      <c r="R6">
        <f t="shared" si="4"/>
        <v>62.284144427001571</v>
      </c>
      <c r="S6">
        <f t="shared" si="5"/>
        <v>6.2284144427001573</v>
      </c>
      <c r="T6">
        <f t="shared" si="6"/>
        <v>1.252853224371502</v>
      </c>
      <c r="U6">
        <f t="shared" si="7"/>
        <v>63.854247603610759</v>
      </c>
      <c r="V6">
        <f t="shared" si="8"/>
        <v>37.317459811617915</v>
      </c>
      <c r="W6">
        <f t="shared" si="9"/>
        <v>5.4124497361574395</v>
      </c>
      <c r="X6">
        <f t="shared" si="10"/>
        <v>1.8048218158368441</v>
      </c>
      <c r="Y6">
        <f t="shared" si="11"/>
        <v>0.65616797900262469</v>
      </c>
      <c r="Z6">
        <f t="shared" si="12"/>
        <v>9.7736029156998914</v>
      </c>
    </row>
    <row r="7" spans="1:26" x14ac:dyDescent="0.25">
      <c r="A7">
        <v>30</v>
      </c>
      <c r="B7">
        <f t="shared" si="0"/>
        <v>0.77000000000000013</v>
      </c>
      <c r="C7">
        <f t="shared" si="1"/>
        <v>0.70000000000000007</v>
      </c>
      <c r="D7">
        <f t="shared" si="2"/>
        <v>17.6465</v>
      </c>
      <c r="P7">
        <v>250</v>
      </c>
      <c r="Q7">
        <f t="shared" si="3"/>
        <v>31.25</v>
      </c>
      <c r="R7">
        <f t="shared" si="4"/>
        <v>69.24889457761229</v>
      </c>
      <c r="S7">
        <f t="shared" si="5"/>
        <v>6.9248894577612292</v>
      </c>
      <c r="T7">
        <f t="shared" si="6"/>
        <v>0.99117617223678522</v>
      </c>
      <c r="U7">
        <f t="shared" si="7"/>
        <v>80.712190467073242</v>
      </c>
      <c r="V7">
        <f t="shared" si="8"/>
        <v>32.461696674234993</v>
      </c>
      <c r="W7">
        <f t="shared" si="9"/>
        <v>4.708179562237695</v>
      </c>
      <c r="X7">
        <f t="shared" si="10"/>
        <v>1.4350285832500944</v>
      </c>
      <c r="Y7">
        <f t="shared" si="11"/>
        <v>0.82020997375328086</v>
      </c>
      <c r="Z7">
        <f t="shared" si="12"/>
        <v>8.5084630928263536</v>
      </c>
    </row>
    <row r="8" spans="1:26" x14ac:dyDescent="0.25">
      <c r="A8">
        <v>35</v>
      </c>
      <c r="B8">
        <f t="shared" si="0"/>
        <v>0.69000000000000006</v>
      </c>
      <c r="C8">
        <f t="shared" si="1"/>
        <v>0.62727272727272732</v>
      </c>
      <c r="D8">
        <f t="shared" si="2"/>
        <v>20.401499999999999</v>
      </c>
      <c r="P8">
        <v>300</v>
      </c>
      <c r="Q8">
        <f t="shared" si="3"/>
        <v>37.5</v>
      </c>
      <c r="R8">
        <f t="shared" si="4"/>
        <v>74.827116512992461</v>
      </c>
      <c r="S8">
        <f t="shared" si="5"/>
        <v>7.4827116512992458</v>
      </c>
      <c r="T8">
        <f t="shared" si="6"/>
        <v>0.80367542854412688</v>
      </c>
      <c r="U8">
        <f t="shared" si="7"/>
        <v>99.542672525053447</v>
      </c>
      <c r="V8">
        <f t="shared" si="8"/>
        <v>28.653948010381793</v>
      </c>
      <c r="W8">
        <f t="shared" si="9"/>
        <v>4.1559113115297546</v>
      </c>
      <c r="X8">
        <f t="shared" si="10"/>
        <v>1.1687930292681332</v>
      </c>
      <c r="Y8">
        <f t="shared" si="11"/>
        <v>0.98425196850393704</v>
      </c>
      <c r="Z8">
        <f t="shared" si="12"/>
        <v>7.514433373580899</v>
      </c>
    </row>
    <row r="9" spans="1:26" x14ac:dyDescent="0.25">
      <c r="A9">
        <v>40</v>
      </c>
      <c r="B9">
        <f t="shared" si="0"/>
        <v>0.61</v>
      </c>
      <c r="C9">
        <f t="shared" si="1"/>
        <v>0.55454545454545445</v>
      </c>
      <c r="D9">
        <f t="shared" si="2"/>
        <v>23.156499999999998</v>
      </c>
      <c r="P9">
        <v>350</v>
      </c>
      <c r="Q9">
        <f t="shared" si="3"/>
        <v>43.75</v>
      </c>
      <c r="R9">
        <f t="shared" si="4"/>
        <v>79.395368782161242</v>
      </c>
      <c r="S9">
        <f t="shared" si="5"/>
        <v>7.9395368782161242</v>
      </c>
      <c r="T9">
        <f t="shared" si="6"/>
        <v>0.66475166238912642</v>
      </c>
      <c r="U9">
        <f t="shared" si="7"/>
        <v>120.34569377755133</v>
      </c>
      <c r="V9">
        <f t="shared" si="8"/>
        <v>25.594333218212469</v>
      </c>
      <c r="W9">
        <f t="shared" si="9"/>
        <v>3.7121509013031</v>
      </c>
      <c r="X9">
        <f t="shared" si="10"/>
        <v>0.97068574317741319</v>
      </c>
      <c r="Y9">
        <f t="shared" si="11"/>
        <v>1.1482939632545932</v>
      </c>
      <c r="Z9">
        <f t="shared" si="12"/>
        <v>6.7146142811173215</v>
      </c>
    </row>
    <row r="10" spans="1:26" x14ac:dyDescent="0.25">
      <c r="A10">
        <v>45</v>
      </c>
      <c r="B10">
        <f t="shared" si="0"/>
        <v>0.53</v>
      </c>
      <c r="C10">
        <f t="shared" si="1"/>
        <v>0.48181818181818181</v>
      </c>
      <c r="D10">
        <f t="shared" si="2"/>
        <v>25.911499999999997</v>
      </c>
      <c r="P10">
        <v>400</v>
      </c>
      <c r="Q10">
        <f t="shared" si="3"/>
        <v>50</v>
      </c>
      <c r="R10">
        <f t="shared" si="4"/>
        <v>83.205173016427821</v>
      </c>
      <c r="S10">
        <f t="shared" si="5"/>
        <v>8.3205173016427825</v>
      </c>
      <c r="T10">
        <f t="shared" si="6"/>
        <v>0.55896659397963744</v>
      </c>
      <c r="U10">
        <f t="shared" si="7"/>
        <v>143.121254224567</v>
      </c>
      <c r="V10">
        <f t="shared" si="8"/>
        <v>23.086390671915712</v>
      </c>
      <c r="W10">
        <f t="shared" si="9"/>
        <v>3.3484039302733111</v>
      </c>
      <c r="X10">
        <f t="shared" si="10"/>
        <v>0.81924639773778007</v>
      </c>
      <c r="Y10">
        <f t="shared" si="11"/>
        <v>1.3123359580052494</v>
      </c>
      <c r="Z10">
        <f t="shared" si="12"/>
        <v>6.0583598937652683</v>
      </c>
    </row>
    <row r="11" spans="1:26" x14ac:dyDescent="0.25">
      <c r="A11">
        <v>50</v>
      </c>
      <c r="B11">
        <f t="shared" si="0"/>
        <v>0.45000000000000007</v>
      </c>
      <c r="C11">
        <f t="shared" si="1"/>
        <v>0.40909090909090912</v>
      </c>
      <c r="D11">
        <f t="shared" si="2"/>
        <v>28.666499999999996</v>
      </c>
      <c r="P11">
        <v>450</v>
      </c>
      <c r="Q11">
        <f t="shared" si="3"/>
        <v>56.25</v>
      </c>
      <c r="R11">
        <f t="shared" si="4"/>
        <v>86.430934323059546</v>
      </c>
      <c r="S11">
        <f t="shared" si="5"/>
        <v>8.6430934323059549</v>
      </c>
      <c r="T11">
        <f t="shared" si="6"/>
        <v>0.4765610765608318</v>
      </c>
      <c r="U11">
        <f t="shared" si="7"/>
        <v>167.86935386610034</v>
      </c>
      <c r="V11">
        <f t="shared" si="8"/>
        <v>20.996263081333385</v>
      </c>
      <c r="W11">
        <f t="shared" si="9"/>
        <v>3.0452560047904313</v>
      </c>
      <c r="X11">
        <f t="shared" si="10"/>
        <v>0.70085519850964062</v>
      </c>
      <c r="Y11">
        <f t="shared" si="11"/>
        <v>1.4763779527559056</v>
      </c>
      <c r="Z11">
        <f t="shared" si="12"/>
        <v>5.5110324714355539</v>
      </c>
    </row>
    <row r="12" spans="1:26" x14ac:dyDescent="0.25">
      <c r="A12">
        <v>78</v>
      </c>
      <c r="B12">
        <f t="shared" si="0"/>
        <v>2.0000000000000018E-3</v>
      </c>
      <c r="C12">
        <f t="shared" si="1"/>
        <v>1.8181818181818197E-3</v>
      </c>
      <c r="D12">
        <f t="shared" si="2"/>
        <v>44.094499999999989</v>
      </c>
      <c r="P12">
        <v>500</v>
      </c>
      <c r="Q12">
        <f t="shared" si="3"/>
        <v>62.5</v>
      </c>
      <c r="R12">
        <f t="shared" si="4"/>
        <v>89.197392086330936</v>
      </c>
      <c r="S12">
        <f t="shared" si="5"/>
        <v>8.9197392086330929</v>
      </c>
      <c r="T12">
        <f t="shared" si="6"/>
        <v>0.41112083354898815</v>
      </c>
      <c r="U12">
        <f t="shared" si="7"/>
        <v>194.58999270215139</v>
      </c>
      <c r="V12">
        <f t="shared" si="8"/>
        <v>19.229735091250021</v>
      </c>
      <c r="W12">
        <f t="shared" si="9"/>
        <v>2.7890423181647206</v>
      </c>
      <c r="X12">
        <f t="shared" si="10"/>
        <v>0.60652795828316619</v>
      </c>
      <c r="Y12">
        <f t="shared" si="11"/>
        <v>1.6404199475065617</v>
      </c>
      <c r="Z12">
        <f t="shared" si="12"/>
        <v>5.0481841439501238</v>
      </c>
    </row>
    <row r="13" spans="1:26" x14ac:dyDescent="0.25">
      <c r="P13">
        <v>550</v>
      </c>
      <c r="Q13">
        <f t="shared" si="3"/>
        <v>68.75</v>
      </c>
      <c r="R13">
        <f t="shared" si="4"/>
        <v>91.596124247936203</v>
      </c>
      <c r="S13">
        <f t="shared" si="5"/>
        <v>9.1596124247936199</v>
      </c>
      <c r="T13">
        <f t="shared" si="6"/>
        <v>0.35828943013248205</v>
      </c>
      <c r="U13">
        <f t="shared" si="7"/>
        <v>223.28317073272012</v>
      </c>
      <c r="V13">
        <f t="shared" si="8"/>
        <v>17.718652284656809</v>
      </c>
      <c r="W13">
        <f t="shared" si="9"/>
        <v>2.5698778900620542</v>
      </c>
      <c r="X13">
        <f t="shared" si="10"/>
        <v>0.53014244275638989</v>
      </c>
      <c r="Y13">
        <f t="shared" si="11"/>
        <v>1.8044619422572179</v>
      </c>
      <c r="Z13">
        <f t="shared" si="12"/>
        <v>4.6520921404450295</v>
      </c>
    </row>
    <row r="14" spans="1:26" x14ac:dyDescent="0.25">
      <c r="P14">
        <v>600</v>
      </c>
      <c r="Q14">
        <f t="shared" si="3"/>
        <v>75</v>
      </c>
      <c r="R14">
        <f t="shared" si="4"/>
        <v>93.695880346365783</v>
      </c>
      <c r="S14">
        <f t="shared" si="5"/>
        <v>9.3695880346365783</v>
      </c>
      <c r="T14">
        <f t="shared" si="6"/>
        <v>0.3150240217365784</v>
      </c>
      <c r="U14">
        <f t="shared" si="7"/>
        <v>253.94888795780665</v>
      </c>
      <c r="V14">
        <f t="shared" si="8"/>
        <v>16.412545472051978</v>
      </c>
      <c r="W14">
        <f t="shared" si="9"/>
        <v>2.3804427701754749</v>
      </c>
      <c r="X14">
        <f t="shared" si="10"/>
        <v>0.46740921855755724</v>
      </c>
      <c r="Y14">
        <f t="shared" si="11"/>
        <v>1.9685039370078741</v>
      </c>
      <c r="Z14">
        <f t="shared" si="12"/>
        <v>4.3096110263126874</v>
      </c>
    </row>
    <row r="15" spans="1:26" x14ac:dyDescent="0.25">
      <c r="P15">
        <v>650</v>
      </c>
      <c r="Q15">
        <f t="shared" si="3"/>
        <v>81.25</v>
      </c>
      <c r="R15">
        <f t="shared" si="4"/>
        <v>95.549277510188958</v>
      </c>
      <c r="S15">
        <f t="shared" si="5"/>
        <v>9.5549277510188961</v>
      </c>
      <c r="T15">
        <f t="shared" si="6"/>
        <v>0.2791472038070445</v>
      </c>
      <c r="U15">
        <f t="shared" si="7"/>
        <v>286.58714437741088</v>
      </c>
      <c r="V15">
        <f t="shared" si="8"/>
        <v>15.273278131665407</v>
      </c>
      <c r="W15">
        <f t="shared" si="9"/>
        <v>2.2152057136604872</v>
      </c>
      <c r="X15">
        <f t="shared" si="10"/>
        <v>0.41524999792155654</v>
      </c>
      <c r="Y15">
        <f t="shared" si="11"/>
        <v>2.1325459317585302</v>
      </c>
      <c r="Z15">
        <f t="shared" si="12"/>
        <v>4.0107947562185231</v>
      </c>
    </row>
    <row r="16" spans="1:26" x14ac:dyDescent="0.25">
      <c r="P16">
        <v>700</v>
      </c>
      <c r="Q16">
        <f t="shared" si="3"/>
        <v>87.5</v>
      </c>
      <c r="R16">
        <f t="shared" si="4"/>
        <v>97.197270181987861</v>
      </c>
      <c r="S16">
        <f t="shared" si="5"/>
        <v>9.7197270181987854</v>
      </c>
      <c r="T16">
        <f t="shared" si="6"/>
        <v>0.24906759987971561</v>
      </c>
      <c r="U16">
        <f t="shared" si="7"/>
        <v>321.19793999153285</v>
      </c>
      <c r="V16">
        <f t="shared" si="8"/>
        <v>14.271519425919223</v>
      </c>
      <c r="W16">
        <f t="shared" si="9"/>
        <v>2.0699126344964722</v>
      </c>
      <c r="X16">
        <f t="shared" si="10"/>
        <v>0.37140891502553613</v>
      </c>
      <c r="Y16">
        <f t="shared" si="11"/>
        <v>2.2965879265091864</v>
      </c>
      <c r="Z16">
        <f t="shared" si="12"/>
        <v>3.7479858986353829</v>
      </c>
    </row>
    <row r="17" spans="15:26" x14ac:dyDescent="0.25">
      <c r="P17">
        <v>750</v>
      </c>
      <c r="Q17">
        <f t="shared" si="3"/>
        <v>93.75</v>
      </c>
      <c r="R17">
        <f t="shared" si="4"/>
        <v>98.672211782911461</v>
      </c>
      <c r="S17">
        <f t="shared" si="5"/>
        <v>9.8672211782911461</v>
      </c>
      <c r="T17">
        <f t="shared" si="6"/>
        <v>0.22360029893873426</v>
      </c>
      <c r="U17">
        <f t="shared" si="7"/>
        <v>357.78127480017253</v>
      </c>
      <c r="V17">
        <f t="shared" si="8"/>
        <v>13.384357361459232</v>
      </c>
      <c r="W17">
        <f t="shared" si="9"/>
        <v>1.941240422991324</v>
      </c>
      <c r="X17">
        <f t="shared" si="10"/>
        <v>0.3342020312004218</v>
      </c>
      <c r="Y17">
        <f t="shared" si="11"/>
        <v>2.4606299212598426</v>
      </c>
      <c r="Z17">
        <f t="shared" si="12"/>
        <v>3.5151977663071614</v>
      </c>
    </row>
    <row r="18" spans="15:26" x14ac:dyDescent="0.25">
      <c r="P18">
        <v>800</v>
      </c>
      <c r="Q18">
        <f t="shared" si="3"/>
        <v>100</v>
      </c>
      <c r="R18">
        <f t="shared" si="4"/>
        <v>100</v>
      </c>
      <c r="S18">
        <f t="shared" si="5"/>
        <v>10</v>
      </c>
      <c r="T18">
        <f t="shared" si="6"/>
        <v>0.20184835118672548</v>
      </c>
      <c r="U18">
        <f t="shared" si="7"/>
        <v>396.33714880332985</v>
      </c>
      <c r="V18">
        <f t="shared" si="8"/>
        <v>12.593645247523732</v>
      </c>
      <c r="W18">
        <f t="shared" si="9"/>
        <v>1.8265571194103469</v>
      </c>
      <c r="X18">
        <f t="shared" si="10"/>
        <v>0.302351593763731</v>
      </c>
      <c r="Y18">
        <f t="shared" si="11"/>
        <v>2.6246719160104988</v>
      </c>
      <c r="Z18">
        <f t="shared" si="12"/>
        <v>3.3076855216083318</v>
      </c>
    </row>
    <row r="19" spans="15:26" x14ac:dyDescent="0.25">
      <c r="S19">
        <f>800/S1</f>
        <v>80</v>
      </c>
    </row>
    <row r="21" spans="15:26" x14ac:dyDescent="0.25">
      <c r="U21">
        <f>10^((3.04758-LOG10(V21*6.89476))/1.06166)</f>
        <v>5.2197820564392954</v>
      </c>
      <c r="V21">
        <v>28</v>
      </c>
      <c r="W21">
        <f t="shared" ref="W21:W38" si="13">X21*12*25.4</f>
        <v>0</v>
      </c>
      <c r="X21">
        <v>0</v>
      </c>
    </row>
    <row r="22" spans="15:26" x14ac:dyDescent="0.25">
      <c r="U22">
        <f t="shared" ref="U22:U38" si="14">10^((3.04758-LOG10(V22*6.89476))/1.06166)</f>
        <v>5.2197820564392954</v>
      </c>
      <c r="V22">
        <v>28</v>
      </c>
      <c r="W22">
        <f t="shared" si="13"/>
        <v>106.67999999999998</v>
      </c>
      <c r="X22">
        <v>0.35</v>
      </c>
    </row>
    <row r="23" spans="15:26" x14ac:dyDescent="0.25">
      <c r="Q23">
        <f>10^((3.04758-LOG10(R23*6.89476))/1.06166)</f>
        <v>5.2197820564392954</v>
      </c>
      <c r="R23">
        <v>28</v>
      </c>
      <c r="S23">
        <f t="shared" ref="S23:S38" si="15">T23*12*25.4</f>
        <v>0</v>
      </c>
      <c r="T23">
        <v>0</v>
      </c>
      <c r="U23">
        <f t="shared" si="14"/>
        <v>11.594645746301076</v>
      </c>
      <c r="V23">
        <v>12</v>
      </c>
      <c r="W23">
        <f t="shared" si="13"/>
        <v>106.67999999999998</v>
      </c>
      <c r="X23">
        <v>0.35</v>
      </c>
    </row>
    <row r="24" spans="15:26" x14ac:dyDescent="0.25">
      <c r="Q24">
        <f>10^((3.04758-LOG10(R24*6.89476))/1.06166)</f>
        <v>5.2197820564392954</v>
      </c>
      <c r="R24">
        <v>28</v>
      </c>
      <c r="S24">
        <f t="shared" si="15"/>
        <v>198.12</v>
      </c>
      <c r="T24">
        <v>0.65</v>
      </c>
      <c r="U24">
        <f t="shared" si="14"/>
        <v>11.594645746301076</v>
      </c>
      <c r="V24">
        <v>12</v>
      </c>
      <c r="W24">
        <f t="shared" si="13"/>
        <v>198.12</v>
      </c>
      <c r="X24">
        <v>0.65</v>
      </c>
    </row>
    <row r="25" spans="15:26" x14ac:dyDescent="0.25">
      <c r="O25">
        <f>P25*12*25.4</f>
        <v>0</v>
      </c>
      <c r="P25">
        <v>0</v>
      </c>
      <c r="Q25">
        <f t="shared" ref="Q25:Q38" si="16">10^((3.04758-LOG10(R25*6.89476))/1.06166)</f>
        <v>19.263952774988418</v>
      </c>
      <c r="R25">
        <v>7</v>
      </c>
      <c r="S25">
        <f t="shared" si="15"/>
        <v>198.12</v>
      </c>
      <c r="T25">
        <f t="shared" ref="T25:T38" si="17">P25+T$24</f>
        <v>0.65</v>
      </c>
      <c r="U25">
        <f t="shared" si="14"/>
        <v>19.263952774988418</v>
      </c>
      <c r="V25">
        <v>7</v>
      </c>
      <c r="W25">
        <f t="shared" si="13"/>
        <v>198.12</v>
      </c>
      <c r="X25">
        <f t="shared" ref="X25:X38" si="18">P25+X$24</f>
        <v>0.65</v>
      </c>
    </row>
    <row r="26" spans="15:26" x14ac:dyDescent="0.25">
      <c r="O26">
        <f t="shared" ref="O26:O38" si="19">P26*12*25.4</f>
        <v>50.8</v>
      </c>
      <c r="P26">
        <v>0.16666666666666666</v>
      </c>
      <c r="Q26">
        <f t="shared" si="16"/>
        <v>19.263952774988418</v>
      </c>
      <c r="R26">
        <v>7</v>
      </c>
      <c r="S26">
        <f t="shared" si="15"/>
        <v>248.92000000000002</v>
      </c>
      <c r="T26">
        <f t="shared" si="17"/>
        <v>0.81666666666666665</v>
      </c>
      <c r="U26">
        <f t="shared" si="14"/>
        <v>19.263952774988418</v>
      </c>
      <c r="V26">
        <v>7</v>
      </c>
      <c r="W26">
        <f t="shared" si="13"/>
        <v>248.92000000000002</v>
      </c>
      <c r="X26">
        <f t="shared" si="18"/>
        <v>0.81666666666666665</v>
      </c>
    </row>
    <row r="27" spans="15:26" x14ac:dyDescent="0.25">
      <c r="O27">
        <f t="shared" si="19"/>
        <v>101.6</v>
      </c>
      <c r="P27">
        <v>0.33333333333333331</v>
      </c>
      <c r="Q27">
        <f t="shared" si="16"/>
        <v>19.263952774988418</v>
      </c>
      <c r="R27">
        <v>7</v>
      </c>
      <c r="S27">
        <f t="shared" si="15"/>
        <v>299.72000000000003</v>
      </c>
      <c r="T27">
        <f t="shared" si="17"/>
        <v>0.98333333333333339</v>
      </c>
      <c r="U27">
        <f t="shared" si="14"/>
        <v>19.263952774988418</v>
      </c>
      <c r="V27">
        <v>7</v>
      </c>
      <c r="W27">
        <f t="shared" si="13"/>
        <v>299.72000000000003</v>
      </c>
      <c r="X27">
        <f t="shared" si="18"/>
        <v>0.98333333333333339</v>
      </c>
    </row>
    <row r="28" spans="15:26" x14ac:dyDescent="0.25">
      <c r="O28">
        <f t="shared" si="19"/>
        <v>152.39999999999998</v>
      </c>
      <c r="P28">
        <v>0.5</v>
      </c>
      <c r="Q28">
        <f t="shared" si="16"/>
        <v>19.263952774988418</v>
      </c>
      <c r="R28">
        <v>7</v>
      </c>
      <c r="S28">
        <f t="shared" si="15"/>
        <v>350.51999999999992</v>
      </c>
      <c r="T28">
        <f t="shared" si="17"/>
        <v>1.1499999999999999</v>
      </c>
      <c r="U28">
        <f t="shared" si="14"/>
        <v>19.263952774988418</v>
      </c>
      <c r="V28">
        <v>7</v>
      </c>
      <c r="W28">
        <f t="shared" si="13"/>
        <v>350.51999999999992</v>
      </c>
      <c r="X28">
        <f t="shared" si="18"/>
        <v>1.1499999999999999</v>
      </c>
    </row>
    <row r="29" spans="15:26" x14ac:dyDescent="0.25">
      <c r="O29">
        <f t="shared" si="19"/>
        <v>243.84000000000003</v>
      </c>
      <c r="P29">
        <v>0.8</v>
      </c>
      <c r="Q29">
        <f t="shared" si="16"/>
        <v>19.263952774988418</v>
      </c>
      <c r="R29">
        <v>7</v>
      </c>
      <c r="S29">
        <f t="shared" si="15"/>
        <v>441.96000000000004</v>
      </c>
      <c r="T29">
        <f t="shared" si="17"/>
        <v>1.4500000000000002</v>
      </c>
      <c r="U29">
        <f t="shared" si="14"/>
        <v>19.263952774988418</v>
      </c>
      <c r="V29">
        <v>7</v>
      </c>
      <c r="W29">
        <f t="shared" si="13"/>
        <v>441.96000000000004</v>
      </c>
      <c r="X29">
        <f t="shared" si="18"/>
        <v>1.4500000000000002</v>
      </c>
    </row>
    <row r="30" spans="15:26" x14ac:dyDescent="0.25">
      <c r="O30">
        <f t="shared" si="19"/>
        <v>243.84000000000003</v>
      </c>
      <c r="P30">
        <v>0.8</v>
      </c>
      <c r="Q30">
        <f t="shared" si="16"/>
        <v>29.206965589693802</v>
      </c>
      <c r="R30">
        <v>4.5</v>
      </c>
      <c r="S30">
        <f t="shared" si="15"/>
        <v>441.96000000000004</v>
      </c>
      <c r="T30">
        <f t="shared" si="17"/>
        <v>1.4500000000000002</v>
      </c>
      <c r="U30">
        <f t="shared" si="14"/>
        <v>29.206965589693802</v>
      </c>
      <c r="V30">
        <v>4.5</v>
      </c>
      <c r="W30">
        <f t="shared" si="13"/>
        <v>441.96000000000004</v>
      </c>
      <c r="X30">
        <f t="shared" si="18"/>
        <v>1.4500000000000002</v>
      </c>
    </row>
    <row r="31" spans="15:26" x14ac:dyDescent="0.25">
      <c r="O31">
        <f t="shared" si="19"/>
        <v>254</v>
      </c>
      <c r="P31">
        <v>0.83333333333333337</v>
      </c>
      <c r="Q31">
        <f t="shared" si="16"/>
        <v>29.206965589693802</v>
      </c>
      <c r="R31">
        <v>4.5</v>
      </c>
      <c r="S31">
        <f t="shared" si="15"/>
        <v>452.12</v>
      </c>
      <c r="T31">
        <f t="shared" si="17"/>
        <v>1.4833333333333334</v>
      </c>
      <c r="U31">
        <f t="shared" si="14"/>
        <v>29.206965589693802</v>
      </c>
      <c r="V31">
        <v>4.5</v>
      </c>
      <c r="W31">
        <f t="shared" si="13"/>
        <v>452.12</v>
      </c>
      <c r="X31">
        <f t="shared" si="18"/>
        <v>1.4833333333333334</v>
      </c>
    </row>
    <row r="32" spans="15:26" x14ac:dyDescent="0.25">
      <c r="O32">
        <f t="shared" si="19"/>
        <v>304.79999999999995</v>
      </c>
      <c r="P32">
        <v>1</v>
      </c>
      <c r="Q32">
        <f t="shared" si="16"/>
        <v>29.206965589693802</v>
      </c>
      <c r="R32">
        <v>4.5</v>
      </c>
      <c r="S32">
        <f t="shared" si="15"/>
        <v>502.9199999999999</v>
      </c>
      <c r="T32">
        <f t="shared" si="17"/>
        <v>1.65</v>
      </c>
      <c r="U32">
        <f t="shared" si="14"/>
        <v>29.206965589693802</v>
      </c>
      <c r="V32">
        <v>4.5</v>
      </c>
      <c r="W32">
        <f t="shared" si="13"/>
        <v>502.9199999999999</v>
      </c>
      <c r="X32">
        <f t="shared" si="18"/>
        <v>1.65</v>
      </c>
    </row>
    <row r="33" spans="15:24" x14ac:dyDescent="0.25">
      <c r="O33">
        <f t="shared" si="19"/>
        <v>355.59999999999997</v>
      </c>
      <c r="P33">
        <v>1.1666666666666667</v>
      </c>
      <c r="Q33">
        <f t="shared" si="16"/>
        <v>29.206965589693802</v>
      </c>
      <c r="R33">
        <v>4.5</v>
      </c>
      <c r="S33">
        <f t="shared" si="15"/>
        <v>553.72</v>
      </c>
      <c r="T33">
        <f t="shared" si="17"/>
        <v>1.8166666666666669</v>
      </c>
      <c r="U33">
        <f t="shared" si="14"/>
        <v>29.206965589693802</v>
      </c>
      <c r="V33">
        <v>4.5</v>
      </c>
      <c r="W33">
        <f t="shared" si="13"/>
        <v>553.72</v>
      </c>
      <c r="X33">
        <f t="shared" si="18"/>
        <v>1.8166666666666669</v>
      </c>
    </row>
    <row r="34" spans="15:24" x14ac:dyDescent="0.25">
      <c r="O34">
        <f t="shared" si="19"/>
        <v>457.2</v>
      </c>
      <c r="P34">
        <v>1.5</v>
      </c>
      <c r="Q34">
        <f t="shared" si="16"/>
        <v>29.206965589693802</v>
      </c>
      <c r="R34">
        <v>4.5</v>
      </c>
      <c r="S34">
        <f t="shared" si="15"/>
        <v>655.31999999999994</v>
      </c>
      <c r="T34">
        <f t="shared" si="17"/>
        <v>2.15</v>
      </c>
      <c r="U34">
        <f t="shared" si="14"/>
        <v>29.206965589693802</v>
      </c>
      <c r="V34">
        <v>4.5</v>
      </c>
      <c r="W34">
        <f t="shared" si="13"/>
        <v>655.31999999999994</v>
      </c>
      <c r="X34">
        <f t="shared" si="18"/>
        <v>2.15</v>
      </c>
    </row>
    <row r="35" spans="15:24" x14ac:dyDescent="0.25">
      <c r="O35">
        <f t="shared" si="19"/>
        <v>457.2</v>
      </c>
      <c r="P35">
        <v>1.5</v>
      </c>
      <c r="Q35">
        <f t="shared" si="16"/>
        <v>42.790811126667968</v>
      </c>
      <c r="R35">
        <v>3</v>
      </c>
      <c r="S35">
        <f t="shared" si="15"/>
        <v>655.31999999999994</v>
      </c>
      <c r="T35">
        <f t="shared" si="17"/>
        <v>2.15</v>
      </c>
      <c r="U35">
        <f t="shared" si="14"/>
        <v>42.790811126667968</v>
      </c>
      <c r="V35">
        <v>3</v>
      </c>
      <c r="W35">
        <f t="shared" si="13"/>
        <v>655.31999999999994</v>
      </c>
      <c r="X35">
        <f t="shared" si="18"/>
        <v>2.15</v>
      </c>
    </row>
    <row r="36" spans="15:24" x14ac:dyDescent="0.25">
      <c r="O36">
        <f t="shared" si="19"/>
        <v>508</v>
      </c>
      <c r="P36">
        <v>1.6666666666666667</v>
      </c>
      <c r="Q36">
        <f t="shared" si="16"/>
        <v>42.790811126667968</v>
      </c>
      <c r="R36">
        <v>3</v>
      </c>
      <c r="S36">
        <f t="shared" si="15"/>
        <v>706.12000000000012</v>
      </c>
      <c r="T36">
        <f t="shared" si="17"/>
        <v>2.3166666666666669</v>
      </c>
      <c r="U36">
        <f t="shared" si="14"/>
        <v>42.790811126667968</v>
      </c>
      <c r="V36">
        <v>3</v>
      </c>
      <c r="W36">
        <f t="shared" si="13"/>
        <v>706.12000000000012</v>
      </c>
      <c r="X36">
        <f t="shared" si="18"/>
        <v>2.3166666666666669</v>
      </c>
    </row>
    <row r="37" spans="15:24" x14ac:dyDescent="0.25">
      <c r="O37">
        <f t="shared" si="19"/>
        <v>558.79999999999995</v>
      </c>
      <c r="P37">
        <v>1.8333333333333333</v>
      </c>
      <c r="Q37">
        <f t="shared" si="16"/>
        <v>42.790811126667968</v>
      </c>
      <c r="R37">
        <v>3</v>
      </c>
      <c r="S37">
        <f t="shared" si="15"/>
        <v>756.92</v>
      </c>
      <c r="T37">
        <f t="shared" si="17"/>
        <v>2.4833333333333334</v>
      </c>
      <c r="U37">
        <f t="shared" si="14"/>
        <v>42.790811126667968</v>
      </c>
      <c r="V37">
        <v>3</v>
      </c>
      <c r="W37">
        <f t="shared" si="13"/>
        <v>756.92</v>
      </c>
      <c r="X37">
        <f t="shared" si="18"/>
        <v>2.4833333333333334</v>
      </c>
    </row>
    <row r="38" spans="15:24" x14ac:dyDescent="0.25">
      <c r="O38">
        <f t="shared" si="19"/>
        <v>558.79999999999995</v>
      </c>
      <c r="P38">
        <v>1.8333333333333333</v>
      </c>
      <c r="Q38">
        <f t="shared" si="16"/>
        <v>42.790811126667968</v>
      </c>
      <c r="R38">
        <v>3</v>
      </c>
      <c r="S38">
        <f t="shared" si="15"/>
        <v>756.92</v>
      </c>
      <c r="T38">
        <f t="shared" si="17"/>
        <v>2.4833333333333334</v>
      </c>
      <c r="U38">
        <f t="shared" si="14"/>
        <v>42.790811126667968</v>
      </c>
      <c r="V38">
        <v>3</v>
      </c>
      <c r="W38">
        <f t="shared" si="13"/>
        <v>756.92</v>
      </c>
      <c r="X38">
        <f t="shared" si="18"/>
        <v>2.4833333333333334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6F6B-7B5F-4636-800E-CA4CE22328F2}">
  <dimension ref="A1:AD256"/>
  <sheetViews>
    <sheetView topLeftCell="A95" zoomScale="240" zoomScaleNormal="240" workbookViewId="0">
      <selection activeCell="B100" sqref="B100"/>
    </sheetView>
  </sheetViews>
  <sheetFormatPr defaultRowHeight="15" x14ac:dyDescent="0.25"/>
  <cols>
    <col min="7" max="7" width="12" style="31" bestFit="1" customWidth="1"/>
    <col min="8" max="8" width="9.140625" style="31"/>
    <col min="9" max="9" width="12" bestFit="1" customWidth="1"/>
    <col min="11" max="11" width="12" bestFit="1" customWidth="1"/>
    <col min="20" max="20" width="12" bestFit="1" customWidth="1"/>
  </cols>
  <sheetData>
    <row r="1" spans="1:25" s="26" customFormat="1" x14ac:dyDescent="0.25">
      <c r="E1" s="26">
        <f>INTERCEPT(F3:F13,E3:E13)</f>
        <v>1.2037904128903225</v>
      </c>
      <c r="F1" s="26">
        <f>SLOPE(F3:F13,E3:E13)</f>
        <v>0.63323097383276128</v>
      </c>
      <c r="G1" s="29" t="s">
        <v>139</v>
      </c>
      <c r="H1" s="29">
        <f>SUM(H3:H13)/11</f>
        <v>3.2220608109066604</v>
      </c>
      <c r="I1" s="54" t="s">
        <v>102</v>
      </c>
      <c r="J1" s="54" t="s">
        <v>103</v>
      </c>
      <c r="K1" s="54" t="s">
        <v>379</v>
      </c>
      <c r="L1" s="54" t="s">
        <v>105</v>
      </c>
      <c r="M1" s="54" t="s">
        <v>368</v>
      </c>
      <c r="N1" s="26" t="s">
        <v>104</v>
      </c>
      <c r="O1" s="54" t="s">
        <v>106</v>
      </c>
      <c r="P1" s="54" t="s">
        <v>369</v>
      </c>
      <c r="Q1" s="54" t="s">
        <v>5</v>
      </c>
      <c r="R1" s="54" t="s">
        <v>96</v>
      </c>
      <c r="S1" s="54" t="s">
        <v>98</v>
      </c>
      <c r="T1" s="26" t="s">
        <v>131</v>
      </c>
      <c r="U1" s="55" t="s">
        <v>136</v>
      </c>
      <c r="V1" s="56" t="s">
        <v>191</v>
      </c>
      <c r="W1" s="56" t="s">
        <v>300</v>
      </c>
      <c r="X1" s="54" t="s">
        <v>302</v>
      </c>
      <c r="Y1" s="54" t="s">
        <v>398</v>
      </c>
    </row>
    <row r="2" spans="1:25" s="26" customFormat="1" x14ac:dyDescent="0.25">
      <c r="A2" s="26" t="s">
        <v>111</v>
      </c>
      <c r="B2" s="26" t="s">
        <v>3</v>
      </c>
      <c r="E2" s="26" t="s">
        <v>137</v>
      </c>
      <c r="F2" s="26" t="s">
        <v>138</v>
      </c>
      <c r="G2" s="29" t="s">
        <v>361</v>
      </c>
      <c r="H2" s="29" t="s">
        <v>360</v>
      </c>
      <c r="I2" s="26" t="s">
        <v>253</v>
      </c>
      <c r="J2" s="26" t="s">
        <v>367</v>
      </c>
      <c r="K2" s="26" t="s">
        <v>254</v>
      </c>
      <c r="L2" s="26" t="s">
        <v>97</v>
      </c>
      <c r="M2" s="26" t="s">
        <v>253</v>
      </c>
      <c r="N2" s="26" t="s">
        <v>254</v>
      </c>
      <c r="O2" s="26" t="s">
        <v>254</v>
      </c>
      <c r="P2" s="26" t="s">
        <v>97</v>
      </c>
      <c r="Q2" s="26" t="s">
        <v>6</v>
      </c>
      <c r="R2" s="26" t="s">
        <v>97</v>
      </c>
      <c r="S2" s="26" t="s">
        <v>97</v>
      </c>
      <c r="T2" s="26" t="s">
        <v>97</v>
      </c>
      <c r="U2" s="26" t="s">
        <v>97</v>
      </c>
      <c r="V2" s="35" t="s">
        <v>192</v>
      </c>
      <c r="W2" s="35" t="s">
        <v>301</v>
      </c>
      <c r="X2" s="35" t="s">
        <v>370</v>
      </c>
      <c r="Y2" s="35" t="s">
        <v>301</v>
      </c>
    </row>
    <row r="3" spans="1:25" s="26" customFormat="1" x14ac:dyDescent="0.25">
      <c r="A3" s="26">
        <v>2</v>
      </c>
      <c r="B3" s="27">
        <f t="shared" ref="B3:B13" si="0">MEDIAN(I3:Y3)</f>
        <v>25.051531930427295</v>
      </c>
      <c r="C3" s="26">
        <f t="shared" ref="C3:C13" si="1">_xlfn.PERCENTILE.EXC(I3:Y3,0.2)</f>
        <v>15.006258000000001</v>
      </c>
      <c r="D3" s="26">
        <f t="shared" ref="D3:D13" si="2">_xlfn.PERCENTILE.EXC(I3:Y3,0.8)</f>
        <v>37.030970202968497</v>
      </c>
      <c r="E3" s="26">
        <f>LOG10(A3)</f>
        <v>0.3010299956639812</v>
      </c>
      <c r="F3" s="26">
        <f>LOG10(B3)</f>
        <v>1.3988342886299556</v>
      </c>
      <c r="G3" s="29">
        <f>10^(Sheet5!$D$3*LOG10($A3)+Sheet5!$D$2)</f>
        <v>25.752320538567702</v>
      </c>
      <c r="H3" s="29" cm="1">
        <f t="array" ref="H3">SUM(ABS(IFERROR(LOG10(I3:Y3)-LOG10(G3),0)))</f>
        <v>3.3789620236450384</v>
      </c>
      <c r="I3" s="27">
        <f>110*$A3/10.197</f>
        <v>21.574973031283712</v>
      </c>
      <c r="J3" s="27">
        <f>5.409*$A3^0.711*6.89476</f>
        <v>61.04758127856249</v>
      </c>
      <c r="K3" s="27">
        <f>30.79*$A3^0.44</f>
        <v>41.769847242113812</v>
      </c>
      <c r="L3" s="27">
        <f t="shared" ref="L3:L8" si="3">17.6*A3^0.64</f>
        <v>27.426593204049599</v>
      </c>
      <c r="M3" s="27">
        <f>3116*$A3^0.4779707*6.89476/1000</f>
        <v>29.922654644250485</v>
      </c>
      <c r="N3" s="27">
        <f>0.0162*$A3^3-0.5454*$A3^2+10.062*$A3</f>
        <v>18.071999999999999</v>
      </c>
      <c r="O3" s="27">
        <f>0.0022*$A3^3-0.1273*$A3^2+6.4261*$A3</f>
        <v>12.3606</v>
      </c>
      <c r="P3" s="27">
        <f t="shared" ref="P3:P13" si="4">IF(A3&lt;5,16.2*A3^0.7,22.4*A3^0.5)</f>
        <v>26.316977641942028</v>
      </c>
      <c r="Q3" s="27">
        <f t="shared" ref="Q3:Q13" si="5" xml:space="preserve"> 810*A3/1000</f>
        <v>1.62</v>
      </c>
      <c r="R3" s="27">
        <f t="shared" ref="R3:R13" si="6" xml:space="preserve"> 16.82*A3^0.64</f>
        <v>26.211096459779217</v>
      </c>
      <c r="S3" s="27">
        <f t="shared" ref="S3:S9" si="7" xml:space="preserve"> 5.00535*A3+2.95173</f>
        <v>12.962429999999999</v>
      </c>
      <c r="T3" s="26">
        <f>-0.63+88*LOG10($A3)</f>
        <v>25.860639618430348</v>
      </c>
      <c r="U3" s="26">
        <f>10^(0.6846*LOG10($A3) + 3.2827)*6.89476/1000</f>
        <v>21.247326345270508</v>
      </c>
      <c r="V3" s="35">
        <f t="shared" ref="V3:V13" si="8">(A3+14)/0.66</f>
        <v>24.242424242424242</v>
      </c>
      <c r="W3" s="27">
        <f t="shared" ref="W3:W4" si="9">0.97*(10^(1.149+0.702*LOG($A3)))</f>
        <v>22.23795214026126</v>
      </c>
      <c r="X3" s="26">
        <f>49.37*$A3^0.59</f>
        <v>74.314031919684382</v>
      </c>
    </row>
    <row r="4" spans="1:25" s="26" customFormat="1" x14ac:dyDescent="0.25">
      <c r="A4" s="26">
        <v>4</v>
      </c>
      <c r="B4" s="27">
        <f t="shared" si="0"/>
        <v>40.845515911049382</v>
      </c>
      <c r="C4" s="26">
        <f t="shared" si="1"/>
        <v>23.474291999999998</v>
      </c>
      <c r="D4" s="26">
        <f t="shared" si="2"/>
        <v>54.076829752308335</v>
      </c>
      <c r="E4" s="26">
        <f t="shared" ref="E4:E13" si="10">LOG10(A4)</f>
        <v>0.6020599913279624</v>
      </c>
      <c r="F4" s="26">
        <f t="shared" ref="F4:F13" si="11">LOG10(B4)</f>
        <v>1.6111443859117893</v>
      </c>
      <c r="G4" s="29">
        <f>10^(Sheet5!$D$3*LOG10($A4)+Sheet5!$D$2)</f>
        <v>40.839195738541783</v>
      </c>
      <c r="H4" s="29" cm="1">
        <f t="array" ref="H4">SUM(ABS(IFERROR(LOG10(I4:Y4)-LOG10(G4),0)))</f>
        <v>4.1106618072870873</v>
      </c>
      <c r="I4" s="27">
        <f t="shared" ref="I4:I6" si="12">110*$A4/10.197</f>
        <v>43.149946062567423</v>
      </c>
      <c r="J4" s="27">
        <f t="shared" ref="J4:J13" si="13">5.409*$A4^0.711*6.89476</f>
        <v>99.931127774326256</v>
      </c>
      <c r="K4" s="27">
        <f t="shared" ref="K4:K13" si="14">30.79*$A4^0.44</f>
        <v>56.665155525479804</v>
      </c>
      <c r="L4" s="27">
        <f t="shared" si="3"/>
        <v>42.739659930705656</v>
      </c>
      <c r="M4" s="27">
        <f t="shared" ref="M4:M10" si="15">3116*$A4^0.4779707*6.89476/1000</f>
        <v>41.675770509936932</v>
      </c>
      <c r="N4" s="27">
        <f t="shared" ref="N4:N9" si="16">0.0162*$A4^3-0.5454*$A4^2+10.062*$A4</f>
        <v>32.558399999999999</v>
      </c>
      <c r="O4" s="27">
        <f t="shared" ref="O4:O13" si="17">0.0022*$A4^3-0.1273*$A4^2+6.4261*$A4</f>
        <v>23.808399999999999</v>
      </c>
      <c r="P4" s="27">
        <f t="shared" si="4"/>
        <v>42.75205630904177</v>
      </c>
      <c r="Q4" s="27">
        <f t="shared" si="5"/>
        <v>3.24</v>
      </c>
      <c r="R4" s="27">
        <f t="shared" si="6"/>
        <v>40.845515911049382</v>
      </c>
      <c r="S4" s="27">
        <f t="shared" si="7"/>
        <v>22.973130000000001</v>
      </c>
      <c r="T4" s="26">
        <f t="shared" ref="T4:T13" si="18">-0.63+88*LOG10($A4)</f>
        <v>52.351279236860691</v>
      </c>
      <c r="U4" s="26">
        <f t="shared" ref="U4:U13" si="19">10^(0.6846*LOG10(A4) + 3.2827)*6.89476/1000</f>
        <v>34.149898991381576</v>
      </c>
      <c r="V4" s="35">
        <f t="shared" si="8"/>
        <v>27.27272727272727</v>
      </c>
      <c r="W4" s="27">
        <f t="shared" si="9"/>
        <v>36.175775359892583</v>
      </c>
      <c r="X4" s="26">
        <f t="shared" ref="X4:X13" si="20">49.37*$A4^0.59</f>
        <v>111.86095483410715</v>
      </c>
      <c r="Y4" s="26">
        <f t="shared" ref="Y4:Y13" si="21">($A4-2.7543)/0.2867</f>
        <v>4.3449598883850706</v>
      </c>
    </row>
    <row r="5" spans="1:25" s="26" customFormat="1" x14ac:dyDescent="0.25">
      <c r="A5" s="26">
        <v>6</v>
      </c>
      <c r="B5" s="27">
        <f t="shared" si="0"/>
        <v>50.588301734899126</v>
      </c>
      <c r="C5" s="26">
        <f t="shared" si="1"/>
        <v>31.911510121212117</v>
      </c>
      <c r="D5" s="26">
        <f t="shared" si="2"/>
        <v>67.778342920950877</v>
      </c>
      <c r="E5" s="26">
        <f t="shared" si="10"/>
        <v>0.77815125038364363</v>
      </c>
      <c r="F5" s="26">
        <f t="shared" si="11"/>
        <v>1.7040501002517809</v>
      </c>
      <c r="G5" s="29">
        <f>10^(Sheet5!$D$3*LOG10($A5)+Sheet5!$D$2)</f>
        <v>53.483798731768523</v>
      </c>
      <c r="H5" s="29" cm="1">
        <f t="array" ref="H5">SUM(ABS(IFERROR(LOG10(I5:Y5)-LOG10(G5),0)))</f>
        <v>3.7312615550810779</v>
      </c>
      <c r="I5" s="27">
        <f t="shared" si="12"/>
        <v>64.724919093851142</v>
      </c>
      <c r="J5" s="27">
        <f t="shared" si="13"/>
        <v>133.32195513595008</v>
      </c>
      <c r="K5" s="27">
        <f t="shared" si="14"/>
        <v>67.732364845744357</v>
      </c>
      <c r="L5" s="27">
        <f t="shared" si="3"/>
        <v>55.402513477280046</v>
      </c>
      <c r="M5" s="27">
        <f t="shared" si="15"/>
        <v>50.588301734899126</v>
      </c>
      <c r="N5" s="27">
        <f t="shared" si="16"/>
        <v>44.236800000000002</v>
      </c>
      <c r="O5" s="27">
        <f t="shared" si="17"/>
        <v>34.449000000000005</v>
      </c>
      <c r="P5" s="27">
        <f t="shared" si="4"/>
        <v>54.868570238343182</v>
      </c>
      <c r="Q5" s="27">
        <f t="shared" si="5"/>
        <v>4.8600000000000003</v>
      </c>
      <c r="R5" s="27">
        <f t="shared" si="6"/>
        <v>52.947174811809674</v>
      </c>
      <c r="S5" s="27">
        <f t="shared" si="7"/>
        <v>32.983829999999998</v>
      </c>
      <c r="T5" s="26">
        <f t="shared" si="18"/>
        <v>67.84731003376065</v>
      </c>
      <c r="U5" s="26">
        <f t="shared" si="19"/>
        <v>45.07559824573724</v>
      </c>
      <c r="V5" s="35">
        <f t="shared" si="8"/>
        <v>30.303030303030301</v>
      </c>
      <c r="W5" s="27">
        <f>0.97*(10^(1.149+0.702*LOG($A5)))</f>
        <v>48.087689642332712</v>
      </c>
      <c r="X5" s="26">
        <f t="shared" si="20"/>
        <v>142.09289574773695</v>
      </c>
      <c r="Y5" s="26">
        <f t="shared" si="21"/>
        <v>11.320892919427973</v>
      </c>
    </row>
    <row r="6" spans="1:25" s="26" customFormat="1" x14ac:dyDescent="0.25">
      <c r="A6" s="26">
        <v>8</v>
      </c>
      <c r="B6" s="27">
        <f t="shared" si="0"/>
        <v>58.849246308074683</v>
      </c>
      <c r="C6" s="26">
        <f t="shared" si="1"/>
        <v>39.130051333333327</v>
      </c>
      <c r="D6" s="26">
        <f t="shared" si="2"/>
        <v>81.825108163228563</v>
      </c>
      <c r="E6" s="26">
        <f t="shared" si="10"/>
        <v>0.90308998699194354</v>
      </c>
      <c r="F6" s="26">
        <f t="shared" si="11"/>
        <v>1.7697409051345894</v>
      </c>
      <c r="G6" s="29">
        <f>10^(Sheet5!$D$3*LOG10($A6)+Sheet5!$D$2)</f>
        <v>64.764645425762922</v>
      </c>
      <c r="H6" s="29" cm="1">
        <f t="array" ref="H6">SUM(ABS(IFERROR(LOG10(I6:Y6)-LOG10(G6),0)))</f>
        <v>3.5511824965624257</v>
      </c>
      <c r="I6" s="27">
        <f t="shared" si="12"/>
        <v>86.299892125134846</v>
      </c>
      <c r="J6" s="27">
        <f t="shared" si="13"/>
        <v>163.58109672979774</v>
      </c>
      <c r="K6" s="27">
        <f t="shared" si="14"/>
        <v>76.872195201361251</v>
      </c>
      <c r="L6" s="27">
        <f t="shared" si="3"/>
        <v>66.602458329481948</v>
      </c>
      <c r="M6" s="27">
        <f t="shared" si="15"/>
        <v>58.045312765412056</v>
      </c>
      <c r="N6" s="27">
        <f t="shared" si="16"/>
        <v>53.884799999999998</v>
      </c>
      <c r="O6" s="27">
        <f t="shared" si="17"/>
        <v>44.387999999999998</v>
      </c>
      <c r="P6" s="27">
        <f t="shared" si="4"/>
        <v>63.356767594314661</v>
      </c>
      <c r="Q6" s="27">
        <f t="shared" si="5"/>
        <v>6.48</v>
      </c>
      <c r="R6" s="27">
        <f t="shared" si="6"/>
        <v>63.650758471698083</v>
      </c>
      <c r="S6" s="27">
        <f t="shared" si="7"/>
        <v>42.994529999999997</v>
      </c>
      <c r="T6" s="26">
        <f t="shared" si="18"/>
        <v>78.841918855291041</v>
      </c>
      <c r="U6" s="26">
        <f t="shared" si="19"/>
        <v>54.88764008094379</v>
      </c>
      <c r="V6" s="35">
        <f t="shared" si="8"/>
        <v>33.333333333333329</v>
      </c>
      <c r="W6" s="27">
        <f t="shared" ref="W6:W13" si="22">0.97*(10^(1.149+0.702*LOG($A6)))</f>
        <v>58.849246308074683</v>
      </c>
      <c r="X6" s="26">
        <f t="shared" si="20"/>
        <v>168.37833842633606</v>
      </c>
      <c r="Y6" s="26">
        <f t="shared" si="21"/>
        <v>18.296825950470872</v>
      </c>
    </row>
    <row r="7" spans="1:25" s="26" customFormat="1" x14ac:dyDescent="0.25">
      <c r="A7" s="26">
        <v>10</v>
      </c>
      <c r="B7" s="27">
        <f t="shared" si="0"/>
        <v>66.703723359819008</v>
      </c>
      <c r="C7" s="26">
        <f t="shared" si="1"/>
        <v>43.020273818181821</v>
      </c>
      <c r="D7" s="26">
        <f t="shared" si="2"/>
        <v>86.343080710312861</v>
      </c>
      <c r="E7" s="26">
        <f t="shared" si="10"/>
        <v>1</v>
      </c>
      <c r="F7" s="26">
        <f t="shared" si="11"/>
        <v>1.8241500766375649</v>
      </c>
      <c r="G7" s="29">
        <f>10^(Sheet5!$D$3*LOG10($A7)+Sheet5!$D$2)</f>
        <v>75.128994024594888</v>
      </c>
      <c r="H7" s="29" cm="1">
        <f t="array" ref="H7">SUM(ABS(IFERROR(LOG10(I7:Y7)-LOG10(G7),0)))</f>
        <v>3.2857799654108515</v>
      </c>
      <c r="I7" s="27"/>
      <c r="J7" s="27">
        <f t="shared" si="13"/>
        <v>191.70618947260684</v>
      </c>
      <c r="K7" s="27">
        <f t="shared" si="14"/>
        <v>84.80270177578214</v>
      </c>
      <c r="L7" s="27">
        <f t="shared" si="3"/>
        <v>76.826786474269227</v>
      </c>
      <c r="M7" s="27">
        <f t="shared" si="15"/>
        <v>64.578403227189241</v>
      </c>
      <c r="N7" s="27">
        <f t="shared" si="16"/>
        <v>62.279999999999987</v>
      </c>
      <c r="O7" s="27">
        <f t="shared" si="17"/>
        <v>53.730999999999995</v>
      </c>
      <c r="P7" s="27">
        <f t="shared" si="4"/>
        <v>70.835019587771697</v>
      </c>
      <c r="Q7" s="27">
        <f t="shared" si="5"/>
        <v>8.1</v>
      </c>
      <c r="R7" s="27">
        <f t="shared" si="6"/>
        <v>73.421962982795918</v>
      </c>
      <c r="S7" s="27">
        <f t="shared" si="7"/>
        <v>53.005229999999997</v>
      </c>
      <c r="T7" s="26">
        <f t="shared" si="18"/>
        <v>87.37</v>
      </c>
      <c r="U7" s="26">
        <f t="shared" si="19"/>
        <v>63.946849595943903</v>
      </c>
      <c r="V7" s="35">
        <f t="shared" si="8"/>
        <v>36.36363636363636</v>
      </c>
      <c r="W7" s="27">
        <f t="shared" si="22"/>
        <v>68.829043492448761</v>
      </c>
      <c r="X7" s="26">
        <f t="shared" si="20"/>
        <v>192.07158808367635</v>
      </c>
      <c r="Y7" s="26">
        <f t="shared" si="21"/>
        <v>25.272758981513775</v>
      </c>
    </row>
    <row r="8" spans="1:25" s="26" customFormat="1" x14ac:dyDescent="0.25">
      <c r="A8" s="26">
        <v>15</v>
      </c>
      <c r="B8" s="27">
        <f t="shared" si="0"/>
        <v>85.580210361267888</v>
      </c>
      <c r="C8" s="26">
        <f t="shared" si="1"/>
        <v>56.433236363636368</v>
      </c>
      <c r="D8" s="26">
        <f t="shared" si="2"/>
        <v>102.26578822437394</v>
      </c>
      <c r="E8" s="26">
        <f t="shared" si="10"/>
        <v>1.1760912590556813</v>
      </c>
      <c r="F8" s="26">
        <f t="shared" si="11"/>
        <v>1.9323733496709985</v>
      </c>
      <c r="G8" s="29">
        <f>10^(Sheet5!$D$3*LOG10($A8)+Sheet5!$D$2)</f>
        <v>98.390380189087139</v>
      </c>
      <c r="H8" s="29" cm="1">
        <f t="array" ref="H8">SUM(ABS(IFERROR(LOG10(I8:Y8)-LOG10(G8),0)))</f>
        <v>3.0256231947583752</v>
      </c>
      <c r="I8" s="27"/>
      <c r="J8" s="27">
        <f t="shared" si="13"/>
        <v>255.76258930920625</v>
      </c>
      <c r="K8" s="27">
        <f t="shared" si="14"/>
        <v>101.36542436558489</v>
      </c>
      <c r="L8" s="27">
        <f t="shared" si="3"/>
        <v>99.588931684476833</v>
      </c>
      <c r="M8" s="27">
        <f t="shared" si="15"/>
        <v>78.388754617892161</v>
      </c>
      <c r="N8" s="27">
        <f t="shared" si="16"/>
        <v>82.889999999999972</v>
      </c>
      <c r="O8" s="27">
        <f t="shared" si="17"/>
        <v>75.173999999999992</v>
      </c>
      <c r="P8" s="27">
        <f t="shared" si="4"/>
        <v>86.754826955046141</v>
      </c>
      <c r="Q8" s="27">
        <f t="shared" si="5"/>
        <v>12.15</v>
      </c>
      <c r="R8" s="27">
        <f t="shared" si="6"/>
        <v>95.175331303005706</v>
      </c>
      <c r="S8" s="27">
        <f t="shared" si="7"/>
        <v>78.031980000000004</v>
      </c>
      <c r="T8" s="26">
        <f t="shared" si="18"/>
        <v>102.86603079689996</v>
      </c>
      <c r="U8" s="26">
        <f t="shared" si="19"/>
        <v>84.40559376748962</v>
      </c>
      <c r="V8" s="35">
        <f t="shared" si="8"/>
        <v>43.939393939393938</v>
      </c>
      <c r="W8" s="27">
        <f t="shared" si="22"/>
        <v>91.492985261983932</v>
      </c>
      <c r="X8" s="26">
        <f t="shared" si="20"/>
        <v>243.98154103146081</v>
      </c>
      <c r="Y8" s="26">
        <f t="shared" si="21"/>
        <v>42.71259155912103</v>
      </c>
    </row>
    <row r="9" spans="1:25" s="26" customFormat="1" x14ac:dyDescent="0.25">
      <c r="A9" s="26">
        <v>20</v>
      </c>
      <c r="B9" s="27">
        <f t="shared" si="0"/>
        <v>103.05873</v>
      </c>
      <c r="C9" s="26">
        <f t="shared" si="1"/>
        <v>66.110682252092374</v>
      </c>
      <c r="D9" s="26">
        <f t="shared" si="2"/>
        <v>114.91808693675992</v>
      </c>
      <c r="E9" s="26">
        <f t="shared" si="10"/>
        <v>1.3010299956639813</v>
      </c>
      <c r="F9" s="26">
        <f t="shared" si="11"/>
        <v>2.0130847863164938</v>
      </c>
      <c r="G9" s="29">
        <f>10^(Sheet5!$D$3*LOG10($A9)+Sheet5!$D$2)</f>
        <v>119.14295987482359</v>
      </c>
      <c r="H9" s="29" cm="1">
        <f t="array" ref="H9">SUM(ABS(IFERROR(LOG10(I9:Y9)-LOG10(G9),0)))</f>
        <v>2.8587560848381042</v>
      </c>
      <c r="I9" s="27"/>
      <c r="J9" s="27">
        <f t="shared" si="13"/>
        <v>313.81121600707212</v>
      </c>
      <c r="K9" s="27">
        <f t="shared" si="14"/>
        <v>115.04371220828043</v>
      </c>
      <c r="L9" s="27"/>
      <c r="M9" s="27">
        <f t="shared" si="15"/>
        <v>89.943714713548715</v>
      </c>
      <c r="N9" s="27">
        <f t="shared" si="16"/>
        <v>112.67999999999998</v>
      </c>
      <c r="O9" s="27">
        <f t="shared" si="17"/>
        <v>95.201999999999998</v>
      </c>
      <c r="P9" s="27">
        <f t="shared" si="4"/>
        <v>100.17584539199058</v>
      </c>
      <c r="Q9" s="27">
        <f t="shared" si="5"/>
        <v>16.2</v>
      </c>
      <c r="R9" s="27">
        <f t="shared" si="6"/>
        <v>114.41558585067791</v>
      </c>
      <c r="S9" s="27">
        <f t="shared" si="7"/>
        <v>103.05873</v>
      </c>
      <c r="T9" s="26">
        <f t="shared" si="18"/>
        <v>113.86063961843035</v>
      </c>
      <c r="U9" s="26">
        <f t="shared" si="19"/>
        <v>102.77897647129812</v>
      </c>
      <c r="V9" s="35">
        <f t="shared" si="8"/>
        <v>51.515151515151516</v>
      </c>
      <c r="W9" s="27">
        <f t="shared" si="22"/>
        <v>111.96822440817826</v>
      </c>
      <c r="X9" s="26">
        <f t="shared" si="20"/>
        <v>289.11513323303205</v>
      </c>
      <c r="Y9" s="26">
        <f t="shared" si="21"/>
        <v>60.152424136728285</v>
      </c>
    </row>
    <row r="10" spans="1:25" s="26" customFormat="1" x14ac:dyDescent="0.25">
      <c r="A10" s="26">
        <v>40</v>
      </c>
      <c r="B10" s="27">
        <f t="shared" si="0"/>
        <v>156.06879782739779</v>
      </c>
      <c r="C10" s="26">
        <f t="shared" si="1"/>
        <v>116.58131177455382</v>
      </c>
      <c r="D10" s="26">
        <f t="shared" si="2"/>
        <v>242.36912278526799</v>
      </c>
      <c r="E10" s="26">
        <f t="shared" si="10"/>
        <v>1.6020599913279623</v>
      </c>
      <c r="F10" s="26">
        <f t="shared" si="11"/>
        <v>2.1933160850875018</v>
      </c>
      <c r="G10" s="29">
        <f>10^(Sheet5!$D$3*LOG10($A10)+Sheet5!$D$2)</f>
        <v>188.94229946812271</v>
      </c>
      <c r="H10" s="29" cm="1">
        <f t="array" ref="H10">SUM(ABS(IFERROR(LOG10(I10:Y10)-LOG10(G10),0)))</f>
        <v>2.7155926443932281</v>
      </c>
      <c r="I10" s="27"/>
      <c r="J10" s="27">
        <f t="shared" si="13"/>
        <v>513.68961827864666</v>
      </c>
      <c r="K10" s="27">
        <f t="shared" si="14"/>
        <v>156.06879782739779</v>
      </c>
      <c r="L10" s="27"/>
      <c r="M10" s="27">
        <f t="shared" si="15"/>
        <v>125.27209426364681</v>
      </c>
      <c r="N10" s="27"/>
      <c r="O10" s="27">
        <f t="shared" si="17"/>
        <v>194.16399999999999</v>
      </c>
      <c r="P10" s="27">
        <f t="shared" si="4"/>
        <v>141.67003917554339</v>
      </c>
      <c r="Q10" s="27">
        <f t="shared" si="5"/>
        <v>32.4</v>
      </c>
      <c r="R10" s="27">
        <f t="shared" si="6"/>
        <v>178.29714371190661</v>
      </c>
      <c r="S10" s="27"/>
      <c r="T10" s="26">
        <f t="shared" si="18"/>
        <v>140.35127923686068</v>
      </c>
      <c r="U10" s="26">
        <f t="shared" si="19"/>
        <v>165.19215678699686</v>
      </c>
      <c r="V10" s="35">
        <f t="shared" si="8"/>
        <v>81.818181818181813</v>
      </c>
      <c r="W10" s="27">
        <f t="shared" si="22"/>
        <v>182.14524917080385</v>
      </c>
      <c r="X10" s="26">
        <f t="shared" si="20"/>
        <v>435.18961392633872</v>
      </c>
      <c r="Y10" s="26">
        <f t="shared" si="21"/>
        <v>129.91175444715731</v>
      </c>
    </row>
    <row r="11" spans="1:25" s="26" customFormat="1" x14ac:dyDescent="0.25">
      <c r="A11" s="26">
        <v>60</v>
      </c>
      <c r="B11" s="27">
        <f t="shared" si="0"/>
        <v>208.8568793753783</v>
      </c>
      <c r="C11" s="26">
        <f t="shared" si="1"/>
        <v>138.35687086874123</v>
      </c>
      <c r="D11" s="26">
        <f t="shared" si="2"/>
        <v>462.61380491534214</v>
      </c>
      <c r="E11" s="26">
        <f t="shared" si="10"/>
        <v>1.7781512503836436</v>
      </c>
      <c r="F11" s="26">
        <f t="shared" si="11"/>
        <v>2.3198487847271196</v>
      </c>
      <c r="G11" s="29">
        <f>10^(Sheet5!$D$3*LOG10($A11)+Sheet5!$D$2)</f>
        <v>247.44248102647487</v>
      </c>
      <c r="H11" s="29" cm="1">
        <f t="array" ref="H11">SUM(ABS(IFERROR(LOG10(I11:Y11)-LOG10(G11),0)))</f>
        <v>2.718193759462439</v>
      </c>
      <c r="I11" s="27"/>
      <c r="J11" s="27">
        <f t="shared" si="13"/>
        <v>685.33304654192148</v>
      </c>
      <c r="K11" s="27">
        <f t="shared" si="14"/>
        <v>186.55042340312207</v>
      </c>
      <c r="L11" s="27"/>
      <c r="M11" s="27"/>
      <c r="N11" s="27"/>
      <c r="O11" s="27">
        <f t="shared" si="17"/>
        <v>402.48600000000005</v>
      </c>
      <c r="P11" s="27">
        <f t="shared" si="4"/>
        <v>173.50965391009228</v>
      </c>
      <c r="Q11" s="27">
        <f t="shared" si="5"/>
        <v>48.6</v>
      </c>
      <c r="R11" s="27">
        <f t="shared" si="6"/>
        <v>231.12280077742653</v>
      </c>
      <c r="S11" s="27"/>
      <c r="T11" s="26">
        <f t="shared" si="18"/>
        <v>155.84731003376064</v>
      </c>
      <c r="U11" s="26">
        <f t="shared" si="19"/>
        <v>218.04267399317027</v>
      </c>
      <c r="V11" s="35">
        <f t="shared" si="8"/>
        <v>112.12121212121211</v>
      </c>
      <c r="W11" s="27">
        <f t="shared" si="22"/>
        <v>242.12181010118346</v>
      </c>
      <c r="X11" s="26">
        <f t="shared" si="20"/>
        <v>552.80551228835509</v>
      </c>
      <c r="Y11" s="26">
        <f t="shared" si="21"/>
        <v>199.67108475758633</v>
      </c>
    </row>
    <row r="12" spans="1:25" s="26" customFormat="1" x14ac:dyDescent="0.25">
      <c r="A12" s="26">
        <v>80</v>
      </c>
      <c r="B12" s="27">
        <f t="shared" si="0"/>
        <v>267.46827436163966</v>
      </c>
      <c r="C12" s="26">
        <f t="shared" si="1"/>
        <v>157.07484828287159</v>
      </c>
      <c r="D12" s="26">
        <f t="shared" si="2"/>
        <v>723.34785052181974</v>
      </c>
      <c r="E12" s="26">
        <f t="shared" si="10"/>
        <v>1.9030899869919435</v>
      </c>
      <c r="F12" s="26">
        <f t="shared" si="11"/>
        <v>2.4272722757524088</v>
      </c>
      <c r="G12" s="29">
        <f>10^(Sheet5!$D$3*LOG10($A12)+Sheet5!$D$2)</f>
        <v>299.63325206801005</v>
      </c>
      <c r="H12" s="29" cm="1">
        <f t="array" ref="H12">SUM(ABS(IFERROR(LOG10(I12:Y12)-LOG10(G12),0)))</f>
        <v>2.9323253699288663</v>
      </c>
      <c r="I12" s="27"/>
      <c r="J12" s="27">
        <f t="shared" si="13"/>
        <v>840.8782429284322</v>
      </c>
      <c r="K12" s="27">
        <f t="shared" si="14"/>
        <v>211.72360651220362</v>
      </c>
      <c r="L12" s="27"/>
      <c r="M12" s="27"/>
      <c r="N12" s="27"/>
      <c r="O12" s="27">
        <f t="shared" si="17"/>
        <v>825.76800000000003</v>
      </c>
      <c r="P12" s="27">
        <f t="shared" si="4"/>
        <v>200.35169078398116</v>
      </c>
      <c r="Q12" s="27">
        <f t="shared" si="5"/>
        <v>64.8</v>
      </c>
      <c r="R12" s="27">
        <f t="shared" si="6"/>
        <v>277.84563806991082</v>
      </c>
      <c r="S12" s="27"/>
      <c r="T12" s="26">
        <f t="shared" si="18"/>
        <v>166.84191885529103</v>
      </c>
      <c r="U12" s="26">
        <f t="shared" si="19"/>
        <v>265.50613365526397</v>
      </c>
      <c r="V12" s="35">
        <f t="shared" si="8"/>
        <v>142.42424242424241</v>
      </c>
      <c r="W12" s="27">
        <f t="shared" si="22"/>
        <v>296.30631342824961</v>
      </c>
      <c r="X12" s="26">
        <f t="shared" si="20"/>
        <v>655.06775086969935</v>
      </c>
      <c r="Y12" s="26">
        <f t="shared" si="21"/>
        <v>269.43041506801535</v>
      </c>
    </row>
    <row r="13" spans="1:25" s="26" customFormat="1" x14ac:dyDescent="0.25">
      <c r="A13" s="26">
        <v>100</v>
      </c>
      <c r="B13" s="27">
        <f t="shared" si="0"/>
        <v>314.9132178195938</v>
      </c>
      <c r="C13" s="26">
        <f t="shared" si="1"/>
        <v>174.3129090909091</v>
      </c>
      <c r="D13" s="26">
        <f t="shared" si="2"/>
        <v>842.52851168157883</v>
      </c>
      <c r="E13" s="26">
        <f t="shared" si="10"/>
        <v>2</v>
      </c>
      <c r="F13" s="26">
        <f t="shared" si="11"/>
        <v>2.4981908896160281</v>
      </c>
      <c r="G13" s="29">
        <f>10^(Sheet5!$D$3*LOG10($A13)+Sheet5!$D$2)</f>
        <v>347.58385004965515</v>
      </c>
      <c r="H13" s="29" cm="1">
        <f t="array" ref="H13">SUM(ABS(IFERROR(LOG10(I13:Y13)-LOG10(G13),0)))</f>
        <v>3.134330018605763</v>
      </c>
      <c r="I13" s="27"/>
      <c r="J13" s="27">
        <f t="shared" si="13"/>
        <v>985.45349667451262</v>
      </c>
      <c r="K13" s="27">
        <f t="shared" si="14"/>
        <v>233.56603535148568</v>
      </c>
      <c r="L13" s="27"/>
      <c r="M13" s="27"/>
      <c r="N13" s="27"/>
      <c r="O13" s="27">
        <f t="shared" si="17"/>
        <v>1569.6100000000001</v>
      </c>
      <c r="P13" s="27">
        <f t="shared" si="4"/>
        <v>224</v>
      </c>
      <c r="Q13" s="27">
        <f t="shared" si="5"/>
        <v>81</v>
      </c>
      <c r="R13" s="27">
        <f t="shared" si="6"/>
        <v>320.49849276141828</v>
      </c>
      <c r="S13" s="27"/>
      <c r="T13" s="26">
        <f t="shared" si="18"/>
        <v>175.37</v>
      </c>
      <c r="U13" s="26">
        <f t="shared" si="19"/>
        <v>309.32794287776932</v>
      </c>
      <c r="V13" s="35">
        <f t="shared" si="8"/>
        <v>172.72727272727272</v>
      </c>
      <c r="W13" s="27">
        <f t="shared" si="22"/>
        <v>346.55465300737131</v>
      </c>
      <c r="X13" s="26">
        <f t="shared" si="20"/>
        <v>747.24518835295612</v>
      </c>
      <c r="Y13" s="26">
        <f t="shared" si="21"/>
        <v>339.18974537844434</v>
      </c>
    </row>
    <row r="14" spans="1:25" s="28" customFormat="1" ht="15.75" thickBot="1" x14ac:dyDescent="0.3">
      <c r="F14" s="28">
        <f>CORREL(F3:F13,E3:E13)</f>
        <v>0.99869155236023577</v>
      </c>
      <c r="G14" s="30"/>
      <c r="H14" s="30"/>
    </row>
    <row r="15" spans="1:25" s="33" customFormat="1" x14ac:dyDescent="0.25">
      <c r="E15" s="26">
        <f>INTERCEPT(F17:F27,E17:E27)</f>
        <v>1.821669265892325</v>
      </c>
      <c r="F15" s="26">
        <f>SLOPE(F17:F27,E17:E27)</f>
        <v>170.3112415115248</v>
      </c>
      <c r="G15" s="29" t="s">
        <v>139</v>
      </c>
      <c r="H15" s="29">
        <f>SUM(H17:H27)/11</f>
        <v>6.0159456016425539</v>
      </c>
      <c r="I15" s="33" t="s">
        <v>401</v>
      </c>
      <c r="J15" s="57" t="s">
        <v>134</v>
      </c>
      <c r="K15" s="57" t="s">
        <v>135</v>
      </c>
      <c r="L15" s="33" t="s">
        <v>146</v>
      </c>
      <c r="M15" s="61" t="s">
        <v>141</v>
      </c>
      <c r="N15" s="61" t="s">
        <v>142</v>
      </c>
      <c r="O15" s="61"/>
      <c r="P15" s="61" t="s">
        <v>406</v>
      </c>
      <c r="Q15" s="61" t="s">
        <v>405</v>
      </c>
      <c r="S15" s="61" t="s">
        <v>407</v>
      </c>
      <c r="T15" s="68" t="s">
        <v>237</v>
      </c>
      <c r="U15" s="61" t="s">
        <v>238</v>
      </c>
      <c r="W15" s="67" t="s">
        <v>239</v>
      </c>
      <c r="X15" s="61" t="s">
        <v>408</v>
      </c>
    </row>
    <row r="16" spans="1:25" s="26" customFormat="1" x14ac:dyDescent="0.25">
      <c r="A16" s="26" t="s">
        <v>40</v>
      </c>
      <c r="B16" s="26" t="s">
        <v>3</v>
      </c>
      <c r="E16" s="26" t="s">
        <v>137</v>
      </c>
      <c r="F16" s="26" t="s">
        <v>138</v>
      </c>
      <c r="G16" s="29" t="s">
        <v>361</v>
      </c>
      <c r="H16" s="29" t="s">
        <v>360</v>
      </c>
      <c r="I16" s="26" t="s">
        <v>255</v>
      </c>
      <c r="J16" s="26" t="s">
        <v>133</v>
      </c>
      <c r="K16" s="26" t="s">
        <v>133</v>
      </c>
      <c r="L16" s="26" t="s">
        <v>133</v>
      </c>
      <c r="M16" s="26" t="s">
        <v>133</v>
      </c>
      <c r="N16" s="26" t="s">
        <v>133</v>
      </c>
      <c r="O16" s="26" t="s">
        <v>133</v>
      </c>
      <c r="P16" s="26" t="s">
        <v>133</v>
      </c>
      <c r="Q16" s="26" t="s">
        <v>133</v>
      </c>
      <c r="R16" s="26" t="s">
        <v>133</v>
      </c>
      <c r="S16" s="26" t="s">
        <v>133</v>
      </c>
      <c r="T16" s="37" t="s">
        <v>133</v>
      </c>
      <c r="U16" s="26" t="s">
        <v>133</v>
      </c>
      <c r="V16" s="26" t="s">
        <v>133</v>
      </c>
      <c r="W16" s="26" t="s">
        <v>133</v>
      </c>
    </row>
    <row r="17" spans="1:24" s="26" customFormat="1" x14ac:dyDescent="0.25">
      <c r="A17" s="26">
        <v>5</v>
      </c>
      <c r="B17" s="27">
        <f t="shared" ref="B17:B27" si="23">MEDIAN(I17:Z17)</f>
        <v>20.788372044332295</v>
      </c>
      <c r="C17" s="26">
        <f t="shared" ref="C17:C27" si="24">_xlfn.PERCENTILE.EXC(I17:Z17,0.2)</f>
        <v>12.067208952</v>
      </c>
      <c r="D17" s="26">
        <f t="shared" ref="D17:D27" si="25">_xlfn.PERCENTILE.EXC(I17:Z17,0.8)</f>
        <v>26.630201048212104</v>
      </c>
      <c r="E17" s="26">
        <f>ATANH(A17/100)</f>
        <v>5.0041729278491313E-2</v>
      </c>
      <c r="F17" s="27">
        <f t="shared" ref="F17:F27" si="26">B17</f>
        <v>20.788372044332295</v>
      </c>
      <c r="G17" s="29">
        <f>Sheet5!$G$3*ATANH($A17/100)+Sheet5!$G$2</f>
        <v>19.044375606310187</v>
      </c>
      <c r="H17" s="29" cm="1">
        <f t="array" ref="H17">SUM(ABS(IFERROR(LOG10(I17:Z17)-LOG10(G17),0)))</f>
        <v>2.6939652775438043</v>
      </c>
      <c r="I17" s="26">
        <f>(1000+555*A17)*6.89476/1000</f>
        <v>26.027719000000001</v>
      </c>
      <c r="J17" s="26">
        <f>2179.4*EXP(0.0344*$A17)*6.89476/1000</f>
        <v>17.846569633608809</v>
      </c>
      <c r="K17" s="26">
        <f>2526.6*EXP(0.0328*$A17)*6.89476/1000</f>
        <v>20.524847558989766</v>
      </c>
      <c r="L17" s="26">
        <f>7.7+3.8*$A17</f>
        <v>26.7</v>
      </c>
      <c r="M17" s="26">
        <f>10^(0.0131*$A17+0.4764)*6.89476</f>
        <v>24.011492375155282</v>
      </c>
      <c r="N17" s="26">
        <f>EXP(7.16+0.0389*$A17-0.049*4+0.04*2)*6.89476/1000</f>
        <v>9.5975362395829276</v>
      </c>
      <c r="O17" s="26">
        <f>EXP(7.16+0.0389*$A17-0.049*4+0.04*2+1.01)*6.89476/1000</f>
        <v>26.351005241060516</v>
      </c>
      <c r="P17" s="26">
        <f>720*EXP(0.0521*$A17-1)*6.89476/1000</f>
        <v>2.3696864239785698</v>
      </c>
      <c r="Q17" s="26">
        <f>(1.455+0.057*$A17)*6.89476</f>
        <v>11.996882400000001</v>
      </c>
      <c r="R17" s="26">
        <f>(1.601+0.038*$A17)*6.89476</f>
        <v>12.34851516</v>
      </c>
      <c r="S17" s="26">
        <f>1.312*$A17^0.517*6.89476</f>
        <v>20.788372044332295</v>
      </c>
      <c r="T17" s="37"/>
      <c r="U17" s="26">
        <f>(1.859+0.219*$A17)*6.89476</f>
        <v>20.367121039999997</v>
      </c>
      <c r="V17" s="26">
        <f>(3.5+0.125*$A17)*6.89476</f>
        <v>28.440884999999998</v>
      </c>
      <c r="W17" s="26">
        <f>(-0.00050925*$A17^2+0.29691215*$A17+3.291856)*6.89476</f>
        <v>32.844468237980003</v>
      </c>
      <c r="X17" s="26">
        <f>0.001*10^(((($A17-5)/11.29)+21.72)/6.24)*6.89476</f>
        <v>20.858755053411709</v>
      </c>
    </row>
    <row r="18" spans="1:24" s="26" customFormat="1" x14ac:dyDescent="0.25">
      <c r="A18" s="26">
        <v>10</v>
      </c>
      <c r="B18" s="27">
        <f t="shared" si="23"/>
        <v>27.916883239999997</v>
      </c>
      <c r="C18" s="26">
        <f t="shared" si="24"/>
        <v>13.719193447999999</v>
      </c>
      <c r="D18" s="26">
        <f t="shared" si="25"/>
        <v>40.803479259920003</v>
      </c>
      <c r="E18" s="26">
        <f t="shared" ref="E18:E27" si="27">ATANH(A18/100)</f>
        <v>0.10033534773107562</v>
      </c>
      <c r="F18" s="27">
        <f t="shared" si="26"/>
        <v>27.916883239999997</v>
      </c>
      <c r="G18" s="29">
        <f>Sheet5!$G$3*ATANH($A18/100)+Sheet5!$G$2</f>
        <v>38.184612648900753</v>
      </c>
      <c r="H18" s="29" cm="1">
        <f t="array" ref="H18">SUM(ABS(IFERROR(LOG10(I18:Z18)-LOG10(G18),0)))</f>
        <v>3.8627460988912192</v>
      </c>
      <c r="I18" s="26">
        <f t="shared" ref="I18:I27" si="28">(1000+555*A18)*6.89476/1000</f>
        <v>45.160677999999997</v>
      </c>
      <c r="J18" s="26">
        <f>2179.4*EXP(0.0344*$A18)*6.89476/1000</f>
        <v>21.195975152745596</v>
      </c>
      <c r="K18" s="26">
        <f>2526.6*EXP(0.0328*$A18)*6.89476/1000</f>
        <v>24.182669209097657</v>
      </c>
      <c r="L18" s="26">
        <f>7.7+3.8*$A18</f>
        <v>45.7</v>
      </c>
      <c r="M18" s="26">
        <f t="shared" ref="M18:M27" si="29">10^(0.0131*$A18+0.4764)*6.89476</f>
        <v>27.920240403350157</v>
      </c>
      <c r="N18" s="26">
        <f t="shared" ref="N18:N27" si="30">EXP(7.16+0.0389*$A18-0.049*4+0.04*2)*6.89476/1000</f>
        <v>11.658160697336811</v>
      </c>
      <c r="O18" s="26">
        <f t="shared" ref="O18:O27" si="31">EXP(7.16+0.0389*$A18-0.049*4+0.04*2+1.01)*6.89476/1000</f>
        <v>32.008657843838293</v>
      </c>
      <c r="P18" s="26">
        <f t="shared" ref="P18:P27" si="32">720*EXP(0.0521*A18-1)*6.89476/1000</f>
        <v>3.0748546622595776</v>
      </c>
      <c r="Q18" s="26">
        <f t="shared" ref="Q18:Q27" si="33">(1.455+0.057*$A18)*6.89476</f>
        <v>13.961889000000003</v>
      </c>
      <c r="R18" s="26">
        <f t="shared" ref="R18:R27" si="34">(1.601+0.038*$A18)*6.89476</f>
        <v>13.658519559999998</v>
      </c>
      <c r="S18" s="26">
        <f t="shared" ref="S18:S27" si="35">1.312*$A18^0.517*6.89476</f>
        <v>29.747672284940229</v>
      </c>
      <c r="T18" s="37"/>
      <c r="U18" s="26">
        <f t="shared" ref="U18:U27" si="36">(1.859+0.219*$A18)*6.89476</f>
        <v>27.916883239999997</v>
      </c>
      <c r="V18" s="26">
        <f t="shared" ref="V18:V27" si="37">(3.5+0.125*$A18)*6.89476</f>
        <v>32.750109999999999</v>
      </c>
      <c r="W18" s="26">
        <f t="shared" ref="W18:W27" si="38">(-0.00050925*$A18^2+0.29691215*$A18+3.291856)*6.89476</f>
        <v>42.816821574899997</v>
      </c>
      <c r="X18" s="26">
        <f t="shared" ref="X18:X27" si="39">0.001*10^(((($A18-5)/11.29)+21.72)/6.24)*6.89476</f>
        <v>24.56185187450048</v>
      </c>
    </row>
    <row r="19" spans="1:24" s="26" customFormat="1" x14ac:dyDescent="0.25">
      <c r="A19" s="26">
        <v>20</v>
      </c>
      <c r="B19" s="27">
        <f t="shared" si="23"/>
        <v>37.750191007158072</v>
      </c>
      <c r="C19" s="26">
        <f t="shared" si="24"/>
        <v>17.339715775274072</v>
      </c>
      <c r="D19" s="26">
        <f t="shared" si="25"/>
        <v>59.233667881521178</v>
      </c>
      <c r="E19" s="26">
        <f t="shared" si="27"/>
        <v>0.20273255405408211</v>
      </c>
      <c r="F19" s="27">
        <f t="shared" si="26"/>
        <v>37.750191007158072</v>
      </c>
      <c r="G19" s="29">
        <f>Sheet5!$G$3*ATANH($A19/100)+Sheet5!$G$2</f>
        <v>77.153906603543419</v>
      </c>
      <c r="H19" s="29" cm="1">
        <f t="array" ref="H19">SUM(ABS(IFERROR(LOG10(I19:Z19)-LOG10(G19),0)))</f>
        <v>5.7326718728255219</v>
      </c>
      <c r="I19" s="26">
        <f t="shared" si="28"/>
        <v>83.426595999999989</v>
      </c>
      <c r="J19" s="26">
        <f t="shared" ref="J19:J27" si="40">2179.4*EXP(0.0344*$A19)*6.89476/1000</f>
        <v>29.898589709214534</v>
      </c>
      <c r="K19" s="26">
        <f t="shared" ref="K19:K27" si="41">2526.6*EXP(0.0328*$A19)*6.89476/1000</f>
        <v>33.570114716592094</v>
      </c>
      <c r="L19" s="26">
        <f t="shared" ref="L19:L27" si="42">7.7+3.8*$A19</f>
        <v>83.7</v>
      </c>
      <c r="M19" s="26">
        <f t="shared" si="29"/>
        <v>37.750191007158072</v>
      </c>
      <c r="N19" s="26">
        <f t="shared" si="30"/>
        <v>17.20166916909259</v>
      </c>
      <c r="O19" s="26">
        <f t="shared" si="31"/>
        <v>47.228920330645856</v>
      </c>
      <c r="P19" s="26">
        <f t="shared" si="32"/>
        <v>5.1771651381443604</v>
      </c>
      <c r="Q19" s="26">
        <f t="shared" si="33"/>
        <v>17.891902200000001</v>
      </c>
      <c r="R19" s="26">
        <f t="shared" si="34"/>
        <v>16.278528359999999</v>
      </c>
      <c r="S19" s="26">
        <f t="shared" si="35"/>
        <v>42.568220565085802</v>
      </c>
      <c r="T19" s="37"/>
      <c r="U19" s="26">
        <f t="shared" si="36"/>
        <v>43.016407639999997</v>
      </c>
      <c r="V19" s="26">
        <f t="shared" si="37"/>
        <v>41.368560000000002</v>
      </c>
      <c r="W19" s="26">
        <f t="shared" si="38"/>
        <v>62.234854769239995</v>
      </c>
      <c r="X19" s="26">
        <f t="shared" si="39"/>
        <v>34.057013026368274</v>
      </c>
    </row>
    <row r="20" spans="1:24" s="26" customFormat="1" x14ac:dyDescent="0.25">
      <c r="A20" s="26">
        <v>30</v>
      </c>
      <c r="B20" s="27">
        <f t="shared" si="23"/>
        <v>49.987009999999998</v>
      </c>
      <c r="C20" s="26">
        <f t="shared" si="24"/>
        <v>22.533760549904322</v>
      </c>
      <c r="D20" s="26">
        <f t="shared" si="25"/>
        <v>78.697822706546845</v>
      </c>
      <c r="E20" s="26">
        <f t="shared" si="27"/>
        <v>0.30951960420311181</v>
      </c>
      <c r="F20" s="27">
        <f t="shared" si="26"/>
        <v>49.987009999999998</v>
      </c>
      <c r="G20" s="29">
        <f>Sheet5!$G$3*ATANH($A20/100)+Sheet5!$G$2</f>
        <v>117.79384295766368</v>
      </c>
      <c r="H20" s="29" cm="1">
        <f t="array" ref="H20">SUM(ABS(IFERROR(LOG10(I20:Z20)-LOG10(G20),0)))</f>
        <v>6.3825447256449674</v>
      </c>
      <c r="I20" s="26">
        <f t="shared" si="28"/>
        <v>121.69251399999999</v>
      </c>
      <c r="J20" s="26">
        <f t="shared" si="40"/>
        <v>42.174311875627765</v>
      </c>
      <c r="K20" s="26">
        <f t="shared" si="41"/>
        <v>46.601663048063656</v>
      </c>
      <c r="L20" s="26">
        <f t="shared" si="42"/>
        <v>121.7</v>
      </c>
      <c r="M20" s="26">
        <f t="shared" si="29"/>
        <v>51.040997516121763</v>
      </c>
      <c r="N20" s="26">
        <f t="shared" si="30"/>
        <v>25.381141149521618</v>
      </c>
      <c r="O20" s="26">
        <f t="shared" si="31"/>
        <v>69.68648690241416</v>
      </c>
      <c r="P20" s="26">
        <f t="shared" si="32"/>
        <v>8.716847399844557</v>
      </c>
      <c r="Q20" s="26">
        <f t="shared" si="33"/>
        <v>21.821915399999998</v>
      </c>
      <c r="R20" s="26">
        <f t="shared" si="34"/>
        <v>18.898537159999997</v>
      </c>
      <c r="S20" s="26">
        <f t="shared" si="35"/>
        <v>52.495814344559136</v>
      </c>
      <c r="T20" s="37"/>
      <c r="U20" s="26">
        <f t="shared" si="36"/>
        <v>58.115932039999997</v>
      </c>
      <c r="V20" s="26">
        <f t="shared" si="37"/>
        <v>49.987009999999998</v>
      </c>
      <c r="W20" s="26">
        <f t="shared" si="38"/>
        <v>80.950656657579998</v>
      </c>
      <c r="X20" s="26">
        <f t="shared" si="39"/>
        <v>47.222829215185435</v>
      </c>
    </row>
    <row r="21" spans="1:24" s="26" customFormat="1" x14ac:dyDescent="0.25">
      <c r="A21" s="26">
        <v>40</v>
      </c>
      <c r="B21" s="27">
        <f t="shared" si="23"/>
        <v>64.69191473366898</v>
      </c>
      <c r="C21" s="26">
        <f t="shared" si="24"/>
        <v>28.091540736829167</v>
      </c>
      <c r="D21" s="26">
        <f t="shared" si="25"/>
        <v>102.05102832072268</v>
      </c>
      <c r="E21" s="26">
        <f t="shared" si="27"/>
        <v>0.42364893019360184</v>
      </c>
      <c r="F21" s="27">
        <f t="shared" si="26"/>
        <v>64.69191473366898</v>
      </c>
      <c r="G21" s="29">
        <f>Sheet5!$G$3*ATANH($A21/100)+Sheet5!$G$2</f>
        <v>161.22802845037253</v>
      </c>
      <c r="H21" s="29" cm="1">
        <f t="array" ref="H21">SUM(ABS(IFERROR(LOG10(I21:Z21)-LOG10(G21),0)))</f>
        <v>6.5554567117586746</v>
      </c>
      <c r="I21" s="26">
        <f t="shared" si="28"/>
        <v>159.95843199999999</v>
      </c>
      <c r="J21" s="26">
        <f t="shared" si="40"/>
        <v>59.490183298998275</v>
      </c>
      <c r="K21" s="26">
        <f t="shared" si="41"/>
        <v>64.69191473366898</v>
      </c>
      <c r="L21" s="26">
        <f t="shared" si="42"/>
        <v>159.69999999999999</v>
      </c>
      <c r="M21" s="26">
        <f t="shared" si="29"/>
        <v>69.011132339615486</v>
      </c>
      <c r="N21" s="26">
        <f t="shared" si="30"/>
        <v>37.449989284145808</v>
      </c>
      <c r="O21" s="26">
        <f t="shared" si="31"/>
        <v>102.82272859092335</v>
      </c>
      <c r="P21" s="26">
        <f t="shared" si="32"/>
        <v>14.676647656522585</v>
      </c>
      <c r="Q21" s="26">
        <f t="shared" si="33"/>
        <v>25.751928600000003</v>
      </c>
      <c r="R21" s="26">
        <f t="shared" si="34"/>
        <v>21.518545960000001</v>
      </c>
      <c r="S21" s="26">
        <f t="shared" si="35"/>
        <v>60.91412412779426</v>
      </c>
      <c r="T21" s="37"/>
      <c r="U21" s="26">
        <f t="shared" si="36"/>
        <v>73.215456439999997</v>
      </c>
      <c r="V21" s="26">
        <f t="shared" si="37"/>
        <v>58.605460000000001</v>
      </c>
      <c r="W21" s="26">
        <f t="shared" si="38"/>
        <v>98.964227239920007</v>
      </c>
      <c r="X21" s="26">
        <f t="shared" si="39"/>
        <v>65.478308310832332</v>
      </c>
    </row>
    <row r="22" spans="1:24" s="26" customFormat="1" x14ac:dyDescent="0.25">
      <c r="A22" s="26">
        <v>50</v>
      </c>
      <c r="B22" s="27">
        <f t="shared" si="23"/>
        <v>88.31498083999999</v>
      </c>
      <c r="C22" s="26">
        <f t="shared" si="24"/>
        <v>34.797079367226267</v>
      </c>
      <c r="D22" s="26">
        <f t="shared" si="25"/>
        <v>144.62743651636484</v>
      </c>
      <c r="E22" s="26">
        <f t="shared" si="27"/>
        <v>0.54930614433405489</v>
      </c>
      <c r="F22" s="27">
        <f t="shared" si="26"/>
        <v>88.31498083999999</v>
      </c>
      <c r="G22" s="29">
        <f>Sheet5!$G$3*ATANH($A22/100)+Sheet5!$G$2</f>
        <v>209.04938111417655</v>
      </c>
      <c r="H22" s="29" cm="1">
        <f t="array" ref="H22">SUM(ABS(IFERROR(LOG10(I22:Z22)-LOG10(G22),0)))</f>
        <v>6.5600794762137991</v>
      </c>
      <c r="I22" s="26">
        <f t="shared" si="28"/>
        <v>198.22435000000002</v>
      </c>
      <c r="J22" s="26">
        <f t="shared" si="40"/>
        <v>83.91558158400268</v>
      </c>
      <c r="K22" s="26">
        <f t="shared" si="41"/>
        <v>89.804602629566247</v>
      </c>
      <c r="L22" s="26">
        <f t="shared" si="42"/>
        <v>197.7</v>
      </c>
      <c r="M22" s="26">
        <f t="shared" si="29"/>
        <v>93.308058591363377</v>
      </c>
      <c r="N22" s="26">
        <f t="shared" si="30"/>
        <v>55.257629636131334</v>
      </c>
      <c r="O22" s="26">
        <f t="shared" si="31"/>
        <v>151.71540401639103</v>
      </c>
      <c r="P22" s="26">
        <f t="shared" si="32"/>
        <v>24.71122603770154</v>
      </c>
      <c r="Q22" s="26">
        <f t="shared" si="33"/>
        <v>29.681941799999997</v>
      </c>
      <c r="R22" s="26">
        <f t="shared" si="34"/>
        <v>24.138554759999998</v>
      </c>
      <c r="S22" s="26">
        <f t="shared" si="35"/>
        <v>68.362900500353689</v>
      </c>
      <c r="T22" s="37"/>
      <c r="U22" s="26">
        <f t="shared" si="36"/>
        <v>88.31498083999999</v>
      </c>
      <c r="V22" s="26">
        <f t="shared" si="37"/>
        <v>67.223910000000004</v>
      </c>
      <c r="W22" s="26">
        <f t="shared" si="38"/>
        <v>116.27556651625999</v>
      </c>
      <c r="X22" s="26">
        <f t="shared" si="39"/>
        <v>90.79102058268262</v>
      </c>
    </row>
    <row r="23" spans="1:24" s="26" customFormat="1" x14ac:dyDescent="0.25">
      <c r="A23" s="26">
        <v>60</v>
      </c>
      <c r="B23" s="27">
        <f t="shared" si="23"/>
        <v>118.36952656859576</v>
      </c>
      <c r="C23" s="26">
        <f t="shared" si="24"/>
        <v>48.309296511899923</v>
      </c>
      <c r="D23" s="26">
        <f t="shared" si="25"/>
        <v>205.6623502041345</v>
      </c>
      <c r="E23" s="26">
        <f t="shared" si="27"/>
        <v>0.69314718055994529</v>
      </c>
      <c r="F23" s="27">
        <f t="shared" si="26"/>
        <v>118.36952656859576</v>
      </c>
      <c r="G23" s="29">
        <f>Sheet5!$G$3*ATANH($A23/100)+Sheet5!$G$2</f>
        <v>263.79094902126616</v>
      </c>
      <c r="H23" s="29" cm="1">
        <f t="array" ref="H23">SUM(ABS(IFERROR(LOG10(I23:Z23)-LOG10(G23),0)))</f>
        <v>6.4746842006278804</v>
      </c>
      <c r="I23" s="26">
        <f t="shared" si="28"/>
        <v>236.49026799999999</v>
      </c>
      <c r="J23" s="26">
        <f t="shared" si="40"/>
        <v>118.36952656859576</v>
      </c>
      <c r="K23" s="26">
        <f t="shared" si="41"/>
        <v>124.66575903119664</v>
      </c>
      <c r="L23" s="26">
        <f t="shared" si="42"/>
        <v>235.7</v>
      </c>
      <c r="M23" s="26">
        <f t="shared" si="29"/>
        <v>126.15926594630652</v>
      </c>
      <c r="N23" s="26">
        <f t="shared" si="30"/>
        <v>81.532884023988032</v>
      </c>
      <c r="O23" s="26">
        <f t="shared" si="31"/>
        <v>223.85676913351804</v>
      </c>
      <c r="P23" s="26">
        <f t="shared" si="32"/>
        <v>41.606551208238365</v>
      </c>
      <c r="Q23" s="26">
        <f t="shared" si="33"/>
        <v>33.611955000000002</v>
      </c>
      <c r="R23" s="26">
        <f t="shared" si="34"/>
        <v>26.758563559999999</v>
      </c>
      <c r="S23" s="26">
        <f t="shared" si="35"/>
        <v>75.120277726546121</v>
      </c>
      <c r="T23" s="37"/>
      <c r="U23" s="26">
        <f t="shared" si="36"/>
        <v>103.41450524</v>
      </c>
      <c r="V23" s="26">
        <f t="shared" si="37"/>
        <v>75.842359999999999</v>
      </c>
      <c r="W23" s="26">
        <f t="shared" si="38"/>
        <v>132.88467448660001</v>
      </c>
      <c r="X23" s="26">
        <f t="shared" si="39"/>
        <v>125.8891628555016</v>
      </c>
    </row>
    <row r="24" spans="1:24" s="26" customFormat="1" x14ac:dyDescent="0.25">
      <c r="A24" s="26">
        <v>70</v>
      </c>
      <c r="B24" s="27">
        <f t="shared" si="23"/>
        <v>148.79155115093997</v>
      </c>
      <c r="C24" s="26">
        <f t="shared" si="24"/>
        <v>72.313126845153079</v>
      </c>
      <c r="D24" s="26">
        <f t="shared" si="25"/>
        <v>253.87112055520134</v>
      </c>
      <c r="E24" s="26">
        <f t="shared" si="27"/>
        <v>0.86730052769405319</v>
      </c>
      <c r="F24" s="27">
        <f t="shared" si="26"/>
        <v>148.79155115093997</v>
      </c>
      <c r="G24" s="29">
        <f>Sheet5!$G$3*ATANH($A24/100)+Sheet5!$G$2</f>
        <v>330.06846987711748</v>
      </c>
      <c r="H24" s="29" cm="1">
        <f t="array" ref="H24">SUM(ABS(IFERROR(LOG10(I24:Z24)-LOG10(G24),0)))</f>
        <v>6.3982329122389796</v>
      </c>
      <c r="I24" s="26">
        <f t="shared" si="28"/>
        <v>274.75618600000001</v>
      </c>
      <c r="J24" s="26">
        <f t="shared" si="40"/>
        <v>166.96952527281968</v>
      </c>
      <c r="K24" s="26">
        <f t="shared" si="41"/>
        <v>173.05963190919636</v>
      </c>
      <c r="L24" s="26">
        <f t="shared" si="42"/>
        <v>273.7</v>
      </c>
      <c r="M24" s="26">
        <f t="shared" si="29"/>
        <v>170.57648207873115</v>
      </c>
      <c r="N24" s="26">
        <f t="shared" si="30"/>
        <v>120.30214146070441</v>
      </c>
      <c r="O24" s="26">
        <f t="shared" si="31"/>
        <v>330.30168170321855</v>
      </c>
      <c r="P24" s="26">
        <f t="shared" si="32"/>
        <v>70.053387913762009</v>
      </c>
      <c r="Q24" s="26">
        <f t="shared" si="33"/>
        <v>37.541968199999999</v>
      </c>
      <c r="R24" s="26">
        <f t="shared" si="34"/>
        <v>29.37857236</v>
      </c>
      <c r="S24" s="26">
        <f t="shared" si="35"/>
        <v>81.352082570717329</v>
      </c>
      <c r="T24" s="37"/>
      <c r="U24" s="26">
        <f t="shared" si="36"/>
        <v>118.51402963999999</v>
      </c>
      <c r="V24" s="26">
        <f t="shared" si="37"/>
        <v>84.460809999999995</v>
      </c>
      <c r="W24" s="26">
        <f t="shared" si="38"/>
        <v>148.79155115093997</v>
      </c>
      <c r="X24" s="26">
        <f t="shared" si="39"/>
        <v>174.55560277600645</v>
      </c>
    </row>
    <row r="25" spans="1:24" s="26" customFormat="1" x14ac:dyDescent="0.25">
      <c r="A25" s="26">
        <v>80</v>
      </c>
      <c r="B25" s="27">
        <f t="shared" si="23"/>
        <v>177.50635726038254</v>
      </c>
      <c r="C25" s="26">
        <f t="shared" si="24"/>
        <v>88.349197091707808</v>
      </c>
      <c r="D25" s="26">
        <f t="shared" si="25"/>
        <v>297.76711903925963</v>
      </c>
      <c r="E25" s="26">
        <f t="shared" si="27"/>
        <v>1.0986122886681098</v>
      </c>
      <c r="F25" s="27">
        <f t="shared" si="26"/>
        <v>177.50635726038254</v>
      </c>
      <c r="G25" s="29">
        <f>Sheet5!$G$3*ATANH($A25/100)+Sheet5!$G$2</f>
        <v>418.09876222835311</v>
      </c>
      <c r="H25" s="29" cm="1">
        <f t="array" ref="H25">SUM(ABS(IFERROR(LOG10(I25:Z25)-LOG10(G25),0)))</f>
        <v>6.5820040072508643</v>
      </c>
      <c r="I25" s="26">
        <f t="shared" si="28"/>
        <v>313.02210400000001</v>
      </c>
      <c r="J25" s="26">
        <f t="shared" si="40"/>
        <v>235.52364513069878</v>
      </c>
      <c r="K25" s="26">
        <f t="shared" si="41"/>
        <v>240.23947256481134</v>
      </c>
      <c r="L25" s="26">
        <f t="shared" si="42"/>
        <v>311.7</v>
      </c>
      <c r="M25" s="26">
        <f t="shared" si="29"/>
        <v>230.63178134485267</v>
      </c>
      <c r="N25" s="26">
        <f t="shared" si="30"/>
        <v>177.50635726038254</v>
      </c>
      <c r="O25" s="26">
        <f t="shared" si="31"/>
        <v>487.3616346660616</v>
      </c>
      <c r="P25" s="26">
        <f t="shared" si="32"/>
        <v>117.94962609696675</v>
      </c>
      <c r="Q25" s="26">
        <f t="shared" si="33"/>
        <v>41.471981400000004</v>
      </c>
      <c r="R25" s="26">
        <f t="shared" si="34"/>
        <v>31.998581160000001</v>
      </c>
      <c r="S25" s="26">
        <f t="shared" si="35"/>
        <v>87.166681364634755</v>
      </c>
      <c r="T25" s="37"/>
      <c r="U25" s="26">
        <f t="shared" si="36"/>
        <v>133.61355403999997</v>
      </c>
      <c r="V25" s="26">
        <f t="shared" si="37"/>
        <v>93.079259999999991</v>
      </c>
      <c r="W25" s="26">
        <f t="shared" si="38"/>
        <v>163.99619650928</v>
      </c>
      <c r="X25" s="26">
        <f t="shared" si="39"/>
        <v>242.03559519629789</v>
      </c>
    </row>
    <row r="26" spans="1:24" s="26" customFormat="1" x14ac:dyDescent="0.25">
      <c r="A26" s="26">
        <v>90</v>
      </c>
      <c r="B26" s="27">
        <f t="shared" si="23"/>
        <v>261.91143802824553</v>
      </c>
      <c r="C26" s="26">
        <f t="shared" si="24"/>
        <v>94.451169889448025</v>
      </c>
      <c r="D26" s="26">
        <f t="shared" si="25"/>
        <v>346.88042284566342</v>
      </c>
      <c r="E26" s="26">
        <f t="shared" si="27"/>
        <v>1.4722194895832204</v>
      </c>
      <c r="F26" s="27">
        <f t="shared" si="26"/>
        <v>261.91143802824553</v>
      </c>
      <c r="G26" s="29">
        <f>Sheet5!$G$3*ATANH($A26/100)+Sheet5!$G$2</f>
        <v>560.28241507241546</v>
      </c>
      <c r="H26" s="29" cm="1">
        <f t="array" ref="H26">SUM(ABS(IFERROR(LOG10(I26:Z26)-LOG10(G26),0)))</f>
        <v>7.1218608909621874</v>
      </c>
      <c r="I26" s="26">
        <f t="shared" si="28"/>
        <v>351.28802200000001</v>
      </c>
      <c r="J26" s="26">
        <f t="shared" si="40"/>
        <v>332.22462197825587</v>
      </c>
      <c r="K26" s="26">
        <f t="shared" si="41"/>
        <v>333.49778652309601</v>
      </c>
      <c r="L26" s="26">
        <f t="shared" si="42"/>
        <v>349.7</v>
      </c>
      <c r="M26" s="26">
        <f t="shared" si="29"/>
        <v>311.83090375699715</v>
      </c>
      <c r="N26" s="26">
        <f t="shared" si="30"/>
        <v>261.91143802824553</v>
      </c>
      <c r="O26" s="26">
        <f t="shared" si="31"/>
        <v>719.10431009489105</v>
      </c>
      <c r="P26" s="26">
        <f t="shared" si="32"/>
        <v>198.59302612945032</v>
      </c>
      <c r="Q26" s="26">
        <f t="shared" si="33"/>
        <v>45.401994599999995</v>
      </c>
      <c r="R26" s="26">
        <f t="shared" si="34"/>
        <v>34.618589960000001</v>
      </c>
      <c r="S26" s="26">
        <f t="shared" si="35"/>
        <v>92.639534861810034</v>
      </c>
      <c r="T26" s="37"/>
      <c r="U26" s="26">
        <f t="shared" si="36"/>
        <v>148.71307844</v>
      </c>
      <c r="V26" s="26">
        <f t="shared" si="37"/>
        <v>101.69771</v>
      </c>
      <c r="W26" s="26">
        <f t="shared" si="38"/>
        <v>178.49861056161998</v>
      </c>
      <c r="X26" s="26">
        <f t="shared" si="39"/>
        <v>335.60211422831719</v>
      </c>
    </row>
    <row r="27" spans="1:24" s="26" customFormat="1" x14ac:dyDescent="0.25">
      <c r="A27" s="26">
        <v>95</v>
      </c>
      <c r="B27" s="27">
        <f t="shared" si="23"/>
        <v>318.14473598033993</v>
      </c>
      <c r="C27" s="26">
        <f t="shared" si="24"/>
        <v>97.413864421206469</v>
      </c>
      <c r="D27" s="26">
        <f t="shared" si="25"/>
        <v>394.24702856380469</v>
      </c>
      <c r="E27" s="26">
        <f t="shared" si="27"/>
        <v>1.8317808230648227</v>
      </c>
      <c r="F27" s="27">
        <f t="shared" si="26"/>
        <v>318.14473598033993</v>
      </c>
      <c r="G27" s="29">
        <f>Sheet5!$G$3*ATANH($A27/100)+Sheet5!$G$2</f>
        <v>697.12063363638902</v>
      </c>
      <c r="H27" s="29" cm="1">
        <f t="array" ref="H27">SUM(ABS(IFERROR(LOG10(I27:Z27)-LOG10(G27),0)))</f>
        <v>7.811155444110188</v>
      </c>
      <c r="I27" s="26">
        <f t="shared" si="28"/>
        <v>370.42098099999998</v>
      </c>
      <c r="J27" s="26">
        <f t="shared" si="40"/>
        <v>394.57581917144375</v>
      </c>
      <c r="K27" s="26">
        <f t="shared" si="41"/>
        <v>392.93186613324832</v>
      </c>
      <c r="L27" s="26">
        <f t="shared" si="42"/>
        <v>368.7</v>
      </c>
      <c r="M27" s="26">
        <f t="shared" si="29"/>
        <v>362.59278107585766</v>
      </c>
      <c r="N27" s="26">
        <f t="shared" si="30"/>
        <v>318.14473598033993</v>
      </c>
      <c r="O27" s="26">
        <f t="shared" si="31"/>
        <v>873.49851002990999</v>
      </c>
      <c r="P27" s="26">
        <f t="shared" si="32"/>
        <v>257.69008342510602</v>
      </c>
      <c r="Q27" s="26">
        <f t="shared" si="33"/>
        <v>47.367001199999997</v>
      </c>
      <c r="R27" s="26">
        <f t="shared" si="34"/>
        <v>35.928594359999998</v>
      </c>
      <c r="S27" s="26">
        <f t="shared" si="35"/>
        <v>95.265596776508076</v>
      </c>
      <c r="T27" s="37"/>
      <c r="U27" s="26">
        <f t="shared" si="36"/>
        <v>156.26284064000001</v>
      </c>
      <c r="V27" s="26">
        <f t="shared" si="37"/>
        <v>106.006935</v>
      </c>
      <c r="W27" s="26">
        <f t="shared" si="38"/>
        <v>185.48648084803997</v>
      </c>
      <c r="X27" s="26">
        <f t="shared" si="39"/>
        <v>395.18223390311437</v>
      </c>
    </row>
    <row r="28" spans="1:24" s="28" customFormat="1" ht="15.75" thickBot="1" x14ac:dyDescent="0.3">
      <c r="B28" s="28">
        <f>CORREL(B17:B27,A17:A27)</f>
        <v>0.94026691165383502</v>
      </c>
      <c r="F28" s="28">
        <f>CORREL(F17:F27,E17:E27)</f>
        <v>0.99698001510475043</v>
      </c>
      <c r="G28" s="30"/>
      <c r="H28" s="30"/>
      <c r="T28" s="37" t="e">
        <f t="shared" ref="T28" si="43">12998*$A28^-1.163*$A28*6.89476/1000</f>
        <v>#DIV/0!</v>
      </c>
    </row>
    <row r="29" spans="1:24" s="33" customFormat="1" x14ac:dyDescent="0.25">
      <c r="E29" s="26">
        <f>INTERCEPT(F31:F35,E31:E35)</f>
        <v>1.3518648377981211</v>
      </c>
      <c r="F29" s="26">
        <f>SLOPE(F31:F35,E31:E35)</f>
        <v>0.96762680602679385</v>
      </c>
      <c r="G29" s="29" t="s">
        <v>139</v>
      </c>
      <c r="H29" s="29">
        <f>SUM(H31:H35)/5</f>
        <v>3.167427346655284</v>
      </c>
      <c r="I29" s="61" t="s">
        <v>397</v>
      </c>
      <c r="J29" s="61"/>
      <c r="L29" s="33" t="s">
        <v>109</v>
      </c>
      <c r="M29" s="33" t="s">
        <v>110</v>
      </c>
      <c r="N29" s="61" t="s">
        <v>304</v>
      </c>
      <c r="O29" s="33" t="s">
        <v>307</v>
      </c>
      <c r="P29" s="65" t="s">
        <v>349</v>
      </c>
    </row>
    <row r="30" spans="1:24" s="26" customFormat="1" ht="17.25" customHeight="1" x14ac:dyDescent="0.25">
      <c r="A30" s="26" t="s">
        <v>1</v>
      </c>
      <c r="B30" s="26" t="s">
        <v>107</v>
      </c>
      <c r="E30" s="26" t="s">
        <v>137</v>
      </c>
      <c r="F30" s="26" t="s">
        <v>138</v>
      </c>
      <c r="G30" s="29" t="s">
        <v>361</v>
      </c>
      <c r="H30" s="29" t="s">
        <v>360</v>
      </c>
      <c r="I30" s="35" t="s">
        <v>396</v>
      </c>
      <c r="L30" s="26" t="s">
        <v>100</v>
      </c>
      <c r="M30" s="26" t="s">
        <v>100</v>
      </c>
      <c r="N30" s="26" t="s">
        <v>100</v>
      </c>
      <c r="P30" s="50"/>
    </row>
    <row r="31" spans="1:24" s="26" customFormat="1" x14ac:dyDescent="0.25">
      <c r="A31" s="26">
        <v>20</v>
      </c>
      <c r="B31" s="27">
        <f t="shared" ref="B31:B35" si="44">MEDIAN(I31:S31)</f>
        <v>484</v>
      </c>
      <c r="C31" s="26">
        <f t="shared" ref="C31:C35" si="45">_xlfn.PERCENTILE.EXC(I31:S31,0.2)</f>
        <v>52.437376196656899</v>
      </c>
      <c r="D31" s="26">
        <f t="shared" ref="D31:D35" si="46">_xlfn.PERCENTILE.EXC(I31:S31,0.8)</f>
        <v>2662.1856800000019</v>
      </c>
      <c r="E31" s="26">
        <f t="shared" ref="E31:E35" si="47">LOG10(A31)</f>
        <v>1.3010299956639813</v>
      </c>
      <c r="F31" s="26">
        <f t="shared" ref="F31:F35" si="48">LOG10(B31)</f>
        <v>2.6848453616444123</v>
      </c>
      <c r="G31" s="29">
        <f>10^((((Sheet5!$D$3*LOG10($A31)+Sheet5!$D$2)-Sheet5!$C$2)/Sheet5!$C$3-Sheet5!$I$2)/Sheet5!$I$3)</f>
        <v>445.58415258886998</v>
      </c>
      <c r="H31" s="29" cm="1">
        <f t="array" ref="H31">SUM(ABS(IFERROR(LOG10(I31:Z31)-LOG10(G31),0)))</f>
        <v>2.8887121693945264</v>
      </c>
      <c r="I31" s="26">
        <f t="shared" ref="I31:I35" si="49">10^((LOG10(A31)-1.115)/0.66)*6.89476</f>
        <v>13.194191502109614</v>
      </c>
      <c r="L31" s="26">
        <f t="shared" ref="L31:L35" si="50">24.2*$A31</f>
        <v>484</v>
      </c>
      <c r="M31" s="26">
        <f>4.5*$A31*6.89476</f>
        <v>620.52840000000003</v>
      </c>
      <c r="O31" s="26">
        <f t="shared" ref="O31:O35" si="51">15*$A31^0.88</f>
        <v>209.41011497484587</v>
      </c>
      <c r="P31" s="50">
        <f t="shared" ref="P31:P35" si="52">(0.1409*$A31 + 0.3546)*1000</f>
        <v>3172.6</v>
      </c>
    </row>
    <row r="32" spans="1:24" s="26" customFormat="1" x14ac:dyDescent="0.25">
      <c r="A32" s="26">
        <v>40</v>
      </c>
      <c r="B32" s="27">
        <f t="shared" si="44"/>
        <v>676.69660171578835</v>
      </c>
      <c r="C32" s="26">
        <f t="shared" si="45"/>
        <v>24.438532156567035</v>
      </c>
      <c r="D32" s="26">
        <f t="shared" si="46"/>
        <v>4090.7827200000029</v>
      </c>
      <c r="E32" s="26">
        <f t="shared" si="47"/>
        <v>1.6020599913279623</v>
      </c>
      <c r="F32" s="26">
        <f t="shared" si="48"/>
        <v>2.830393995517329</v>
      </c>
      <c r="G32" s="29">
        <f>10^((((Sheet5!$D$3*LOG10($A32)+Sheet5!$D$2)-Sheet5!$C$2)/Sheet5!$C$3-Sheet5!$I$2)/Sheet5!$I$3)</f>
        <v>962.14452472407436</v>
      </c>
      <c r="H32" s="29" cm="1">
        <f t="array" ref="H32">SUM(ABS(IFERROR(LOG10(I32:Z32)-LOG10(G32),0)))</f>
        <v>4.5019257234301531</v>
      </c>
      <c r="I32" s="26">
        <f t="shared" si="49"/>
        <v>37.712805147839127</v>
      </c>
      <c r="L32" s="26">
        <f t="shared" si="50"/>
        <v>968</v>
      </c>
      <c r="M32" s="26">
        <f t="shared" ref="M32:M35" si="53">4.5*$A32*6.89476</f>
        <v>1241.0568000000001</v>
      </c>
      <c r="N32" s="26">
        <f t="shared" ref="N32:N35" si="54">1000*($A32-39.12)/56.45</f>
        <v>15.589016829052301</v>
      </c>
      <c r="O32" s="26">
        <f t="shared" si="51"/>
        <v>385.39320343157675</v>
      </c>
      <c r="P32" s="50">
        <f t="shared" si="52"/>
        <v>5990.6</v>
      </c>
    </row>
    <row r="33" spans="1:24" s="26" customFormat="1" x14ac:dyDescent="0.25">
      <c r="A33" s="26">
        <v>100</v>
      </c>
      <c r="B33" s="27">
        <f t="shared" si="44"/>
        <v>1749.2382639503985</v>
      </c>
      <c r="C33" s="26">
        <f t="shared" si="45"/>
        <v>435.95815830573406</v>
      </c>
      <c r="D33" s="26">
        <f t="shared" si="46"/>
        <v>9907.8168000000042</v>
      </c>
      <c r="E33" s="26">
        <f t="shared" si="47"/>
        <v>2</v>
      </c>
      <c r="F33" s="26">
        <f t="shared" si="48"/>
        <v>3.2428489688104585</v>
      </c>
      <c r="G33" s="29">
        <f>10^((((Sheet5!$D$3*LOG10($A33)+Sheet5!$D$2)-Sheet5!$C$2)/Sheet5!$C$3-Sheet5!$I$2)/Sheet5!$I$3)</f>
        <v>2661.7965379925627</v>
      </c>
      <c r="H33" s="29" cm="1">
        <f t="array" ref="H33">SUM(ABS(IFERROR(LOG10(I33:Z33)-LOG10(G33),0)))</f>
        <v>2.9696413319292057</v>
      </c>
      <c r="I33" s="26">
        <f t="shared" si="49"/>
        <v>151.15699317239969</v>
      </c>
      <c r="L33" s="26">
        <f t="shared" si="50"/>
        <v>2420</v>
      </c>
      <c r="M33" s="26">
        <f t="shared" si="53"/>
        <v>3102.6419999999998</v>
      </c>
      <c r="N33" s="26">
        <f t="shared" si="54"/>
        <v>1078.476527900797</v>
      </c>
      <c r="O33" s="26">
        <f t="shared" si="51"/>
        <v>863.15990600573537</v>
      </c>
      <c r="P33" s="50">
        <f t="shared" si="52"/>
        <v>14444.599999999999</v>
      </c>
    </row>
    <row r="34" spans="1:24" s="26" customFormat="1" x14ac:dyDescent="0.25">
      <c r="A34" s="26">
        <v>200</v>
      </c>
      <c r="B34" s="27">
        <f t="shared" si="44"/>
        <v>3844.977856510186</v>
      </c>
      <c r="C34" s="26">
        <f t="shared" si="45"/>
        <v>894.64544124529357</v>
      </c>
      <c r="D34" s="26">
        <f t="shared" si="46"/>
        <v>19602.873600000014</v>
      </c>
      <c r="E34" s="26">
        <f t="shared" si="47"/>
        <v>2.3010299956639813</v>
      </c>
      <c r="F34" s="26">
        <f t="shared" si="48"/>
        <v>3.5848938430130994</v>
      </c>
      <c r="G34" s="29">
        <f>10^((((Sheet5!$D$3*LOG10($A34)+Sheet5!$D$2)-Sheet5!$C$2)/Sheet5!$C$3-Sheet5!$I$2)/Sheet5!$I$3)</f>
        <v>5747.5853889311084</v>
      </c>
      <c r="H34" s="29" cm="1">
        <f t="array" ref="H34">SUM(ABS(IFERROR(LOG10(I34:Z34)-LOG10(G34),0)))</f>
        <v>2.7908888893989765</v>
      </c>
      <c r="I34" s="26">
        <f t="shared" si="49"/>
        <v>432.05028738081506</v>
      </c>
      <c r="L34" s="26">
        <f t="shared" si="50"/>
        <v>4840</v>
      </c>
      <c r="M34" s="26">
        <f t="shared" si="53"/>
        <v>6205.2839999999997</v>
      </c>
      <c r="N34" s="26">
        <f t="shared" si="54"/>
        <v>2849.9557130203721</v>
      </c>
      <c r="O34" s="26">
        <f t="shared" si="51"/>
        <v>1588.5381720420107</v>
      </c>
      <c r="P34" s="50">
        <f t="shared" si="52"/>
        <v>28534.600000000002</v>
      </c>
    </row>
    <row r="35" spans="1:24" s="26" customFormat="1" x14ac:dyDescent="0.25">
      <c r="A35" s="26">
        <v>400</v>
      </c>
      <c r="B35" s="27">
        <f t="shared" si="44"/>
        <v>8036.4570416297611</v>
      </c>
      <c r="C35" s="26">
        <f t="shared" si="45"/>
        <v>1910.3571739271838</v>
      </c>
      <c r="D35" s="26">
        <f t="shared" si="46"/>
        <v>38992.987200000018</v>
      </c>
      <c r="E35" s="26">
        <f t="shared" si="47"/>
        <v>2.6020599913279625</v>
      </c>
      <c r="F35" s="26">
        <f t="shared" si="48"/>
        <v>3.905064627555245</v>
      </c>
      <c r="G35" s="29">
        <f>10^((((Sheet5!$D$3*LOG10($A35)+Sheet5!$D$2)-Sheet5!$C$2)/Sheet5!$C$3-Sheet5!$I$2)/Sheet5!$I$3)</f>
        <v>12410.692301812098</v>
      </c>
      <c r="H35" s="29" cm="1">
        <f t="array" ref="H35">SUM(ABS(IFERROR(LOG10(I35:Z35)-LOG10(G35),0)))</f>
        <v>2.685968619123559</v>
      </c>
      <c r="I35" s="26">
        <f t="shared" si="49"/>
        <v>1234.9243452662768</v>
      </c>
      <c r="L35" s="26">
        <f t="shared" si="50"/>
        <v>9680</v>
      </c>
      <c r="M35" s="26">
        <f t="shared" si="53"/>
        <v>12410.567999999999</v>
      </c>
      <c r="N35" s="26">
        <f t="shared" si="54"/>
        <v>6392.9140832595212</v>
      </c>
      <c r="O35" s="26">
        <f t="shared" si="51"/>
        <v>2923.5064169185439</v>
      </c>
      <c r="P35" s="50">
        <f t="shared" si="52"/>
        <v>56714.6</v>
      </c>
    </row>
    <row r="36" spans="1:24" s="28" customFormat="1" ht="15.75" thickBot="1" x14ac:dyDescent="0.3">
      <c r="F36" s="28">
        <f>CORREL(F31:F35,E31:E35)</f>
        <v>0.99328569266465827</v>
      </c>
      <c r="G36" s="30"/>
      <c r="H36" s="30"/>
    </row>
    <row r="37" spans="1:24" s="26" customFormat="1" x14ac:dyDescent="0.25">
      <c r="A37" s="26" t="s">
        <v>184</v>
      </c>
      <c r="B37" s="37" t="s">
        <v>194</v>
      </c>
      <c r="C37" s="37"/>
      <c r="D37" s="37"/>
      <c r="E37" s="26">
        <f>INTERCEPT(F39:F45,E39:E45)</f>
        <v>2.5871040551164164</v>
      </c>
      <c r="F37" s="26">
        <f>SLOPE(F39:F45,E39:E45)</f>
        <v>-1.1383072565162395</v>
      </c>
      <c r="G37" s="29" t="s">
        <v>139</v>
      </c>
      <c r="H37" s="29">
        <f>SUM(H39:H45)/7</f>
        <v>0.86454694954877742</v>
      </c>
      <c r="I37" s="62" t="s">
        <v>117</v>
      </c>
      <c r="J37" s="36"/>
      <c r="K37" s="62" t="s">
        <v>193</v>
      </c>
      <c r="L37" s="36"/>
      <c r="M37" s="71" t="s">
        <v>196</v>
      </c>
      <c r="N37" s="53" t="s">
        <v>224</v>
      </c>
    </row>
    <row r="38" spans="1:24" s="26" customFormat="1" x14ac:dyDescent="0.25">
      <c r="A38" s="26" t="s">
        <v>180</v>
      </c>
      <c r="B38" s="26" t="s">
        <v>177</v>
      </c>
      <c r="E38" s="26" t="s">
        <v>137</v>
      </c>
      <c r="F38" s="26" t="s">
        <v>138</v>
      </c>
      <c r="G38" s="29" t="s">
        <v>361</v>
      </c>
      <c r="H38" s="29" t="s">
        <v>360</v>
      </c>
      <c r="I38" s="36" t="s">
        <v>112</v>
      </c>
      <c r="J38" s="36" t="s">
        <v>112</v>
      </c>
      <c r="K38" s="36" t="s">
        <v>112</v>
      </c>
      <c r="L38" s="36" t="s">
        <v>112</v>
      </c>
      <c r="M38" s="37"/>
      <c r="N38" s="26" t="s">
        <v>112</v>
      </c>
    </row>
    <row r="39" spans="1:24" s="26" customFormat="1" x14ac:dyDescent="0.25">
      <c r="A39" s="26">
        <v>100</v>
      </c>
      <c r="B39" s="27">
        <f>MEDIAN(I39:Z39)</f>
        <v>1.5958791472367337</v>
      </c>
      <c r="C39" s="26">
        <f>_xlfn.PERCENTILE.EXC(I39:Z39,0.2)</f>
        <v>1.4974378403407669</v>
      </c>
      <c r="D39" s="26">
        <f>_xlfn.PERCENTILE.EXC(I39:Z39,0.8)</f>
        <v>4.6368755009953304</v>
      </c>
      <c r="E39" s="26">
        <f>LOG10(A39)</f>
        <v>2</v>
      </c>
      <c r="F39" s="26">
        <f>LOG10(B39)</f>
        <v>0.20300000000000029</v>
      </c>
      <c r="G39" s="29">
        <f>10^((Sheet5!$C$3*LOG10(($A39-0.06)/1.092)+Sheet5!$C$2-Sheet5!$D$2)/Sheet5!$D$3)</f>
        <v>2.5258433351900207</v>
      </c>
      <c r="H39" s="29" cm="1">
        <f t="array" ref="H39">SUM(ABS(IFERROR(LOG10(I39:Z39)-LOG10(G39),0)))</f>
        <v>1.1034779170922051</v>
      </c>
      <c r="I39" s="36">
        <f>10^(2.555-1.145*LOG10($A69))</f>
        <v>1.8407720014689564</v>
      </c>
      <c r="J39" s="36">
        <f>322.097/($A39)-1.738</f>
        <v>1.4829699999999999</v>
      </c>
      <c r="K39" s="36">
        <f>10^(2.2-0.71*LOG10($A39)^1.5)</f>
        <v>1.5553092017038344</v>
      </c>
      <c r="L39" s="36">
        <f>10^(2-0.45*LOG10($A39)^1.5)</f>
        <v>5.3359013758769205</v>
      </c>
      <c r="M39" s="37"/>
      <c r="N39" s="35">
        <f>10^(2.503-1.15*LOG10($A39))</f>
        <v>1.5958791472367337</v>
      </c>
    </row>
    <row r="40" spans="1:24" s="26" customFormat="1" x14ac:dyDescent="0.25">
      <c r="A40" s="26">
        <v>50</v>
      </c>
      <c r="B40" s="27">
        <f t="shared" ref="B40:B45" si="55">MEDIAN(I40:Z40)</f>
        <v>4.2432103773684915</v>
      </c>
      <c r="C40" s="26">
        <f t="shared" ref="C40:C45" si="56">_xlfn.PERCENTILE.EXC(I40:Z40,0.2)</f>
        <v>3.6473412637328444</v>
      </c>
      <c r="D40" s="26">
        <f t="shared" ref="D40:D45" si="57">_xlfn.PERCENTILE.EXC(I40:Z40,0.8)</f>
        <v>9.0049338320197627</v>
      </c>
      <c r="E40" s="26">
        <f t="shared" ref="E40:E45" si="58">LOG10(0.006+1.092*A40)</f>
        <v>1.7372403647510359</v>
      </c>
      <c r="F40" s="26">
        <f t="shared" ref="F40:F45" si="59">LOG10(B40)</f>
        <v>0.62769456451827044</v>
      </c>
      <c r="G40" s="29">
        <f>10^((Sheet5!$C$3*LOG10(($A40-0.06)/1.092)+Sheet5!$C$2-Sheet5!$D$2)/Sheet5!$D$3)</f>
        <v>4.6991115073981176</v>
      </c>
      <c r="H40" s="29" cm="1">
        <f t="array" ref="H40">SUM(ABS(IFERROR(LOG10(I40:Z40)-LOG10(G40),0)))</f>
        <v>0.5613875056780685</v>
      </c>
      <c r="I40" s="36">
        <f t="shared" ref="I40:I45" si="60">10^(2.555-1.145*LOG10($A70))</f>
        <v>4.0707960555958573</v>
      </c>
      <c r="J40" s="36">
        <f t="shared" ref="J40:J45" si="61">322.097/($A40)-1.738</f>
        <v>4.7039399999999993</v>
      </c>
      <c r="K40" s="36">
        <f t="shared" ref="K40:K45" si="62">10^(2.2-0.71*LOG10($A40)^1.5)</f>
        <v>4.2432103773684915</v>
      </c>
      <c r="L40" s="36">
        <f t="shared" ref="L40:L45" si="63">10^(2-0.45*LOG10($A40)^1.5)</f>
        <v>10.080182290024698</v>
      </c>
      <c r="M40" s="37"/>
      <c r="N40" s="35">
        <f t="shared" ref="N40:N45" si="64">10^(2.503-1.15*LOG10($A40))</f>
        <v>3.5414775657670909</v>
      </c>
    </row>
    <row r="41" spans="1:24" s="26" customFormat="1" x14ac:dyDescent="0.25">
      <c r="A41" s="26">
        <v>20</v>
      </c>
      <c r="B41" s="27">
        <f t="shared" si="55"/>
        <v>14.007709443393628</v>
      </c>
      <c r="C41" s="26">
        <f t="shared" si="56"/>
        <v>10.45114946925756</v>
      </c>
      <c r="D41" s="26">
        <f t="shared" si="57"/>
        <v>20.064107259660016</v>
      </c>
      <c r="E41" s="26">
        <f t="shared" si="58"/>
        <v>1.3393719293175874</v>
      </c>
      <c r="F41" s="26">
        <f t="shared" si="59"/>
        <v>1.1463671247630294</v>
      </c>
      <c r="G41" s="29">
        <f>10^((Sheet5!$C$3*LOG10(($A41-0.06)/1.092)+Sheet5!$C$2-Sheet5!$D$2)/Sheet5!$D$3)</f>
        <v>10.685931704322954</v>
      </c>
      <c r="H41" s="29" cm="1">
        <f t="array" ref="H41">SUM(ABS(IFERROR(LOG10(I41:Z41)-LOG10(G41),0)))</f>
        <v>0.60800116527385417</v>
      </c>
      <c r="I41" s="36">
        <f t="shared" si="60"/>
        <v>11.623064690530757</v>
      </c>
      <c r="J41" s="36">
        <f t="shared" si="61"/>
        <v>14.366849999999999</v>
      </c>
      <c r="K41" s="36">
        <f t="shared" si="62"/>
        <v>14.007709443393628</v>
      </c>
      <c r="L41" s="36">
        <f t="shared" si="63"/>
        <v>21.488421574575014</v>
      </c>
      <c r="M41" s="37"/>
      <c r="N41" s="35">
        <f t="shared" si="64"/>
        <v>10.158170663939259</v>
      </c>
    </row>
    <row r="42" spans="1:24" s="26" customFormat="1" x14ac:dyDescent="0.25">
      <c r="A42" s="26">
        <v>10</v>
      </c>
      <c r="B42" s="27">
        <f t="shared" si="55"/>
        <v>30.471699999999998</v>
      </c>
      <c r="C42" s="26">
        <f t="shared" si="56"/>
        <v>23.174705262757183</v>
      </c>
      <c r="D42" s="26">
        <f t="shared" si="57"/>
        <v>34.565662003713236</v>
      </c>
      <c r="E42" s="26">
        <f t="shared" si="58"/>
        <v>1.0384611961785637</v>
      </c>
      <c r="F42" s="26">
        <f t="shared" si="59"/>
        <v>1.4838966839576311</v>
      </c>
      <c r="G42" s="29">
        <f>10^((Sheet5!$C$3*LOG10(($A42-0.06)/1.092)+Sheet5!$C$2-Sheet5!$D$2)/Sheet5!$D$3)</f>
        <v>19.923218665348738</v>
      </c>
      <c r="H42" s="29" cm="1">
        <f t="array" ref="H42">SUM(ABS(IFERROR(LOG10(I42:Z42)-LOG10(G42),0)))</f>
        <v>0.79009917625007775</v>
      </c>
      <c r="I42" s="36">
        <f t="shared" si="60"/>
        <v>25.703957827688658</v>
      </c>
      <c r="J42" s="36">
        <f t="shared" si="61"/>
        <v>30.471699999999998</v>
      </c>
      <c r="K42" s="36">
        <f t="shared" si="62"/>
        <v>30.902954325135934</v>
      </c>
      <c r="L42" s="36">
        <f t="shared" si="63"/>
        <v>35.481338923357555</v>
      </c>
      <c r="M42" s="37"/>
      <c r="N42" s="35">
        <f t="shared" si="64"/>
        <v>22.542392121524312</v>
      </c>
    </row>
    <row r="43" spans="1:24" s="26" customFormat="1" x14ac:dyDescent="0.25">
      <c r="A43" s="26">
        <v>5</v>
      </c>
      <c r="B43" s="27">
        <f t="shared" si="55"/>
        <v>56.843308163453628</v>
      </c>
      <c r="C43" s="26">
        <f t="shared" si="56"/>
        <v>50.935760997809808</v>
      </c>
      <c r="D43" s="26">
        <f t="shared" si="57"/>
        <v>62.338592275274891</v>
      </c>
      <c r="E43" s="26">
        <f t="shared" si="58"/>
        <v>0.73766962735664199</v>
      </c>
      <c r="F43" s="26">
        <f t="shared" si="59"/>
        <v>1.7546793450352587</v>
      </c>
      <c r="G43" s="29">
        <f>10^((Sheet5!$C$3*LOG10(($A43-0.06)/1.092)+Sheet5!$C$2-Sheet5!$D$2)/Sheet5!$D$3)</f>
        <v>37.246751677106708</v>
      </c>
      <c r="H43" s="29" cm="1">
        <f t="array" ref="H43">SUM(ABS(IFERROR(LOG10(I43:Z43)-LOG10(G43),0)))</f>
        <v>0.91769147291315512</v>
      </c>
      <c r="I43" s="36">
        <f t="shared" si="60"/>
        <v>56.843308163453628</v>
      </c>
      <c r="J43" s="36">
        <f t="shared" si="61"/>
        <v>62.681399999999996</v>
      </c>
      <c r="K43" s="36">
        <f t="shared" si="62"/>
        <v>60.967361376374456</v>
      </c>
      <c r="L43" s="36">
        <f t="shared" si="63"/>
        <v>54.580003985640502</v>
      </c>
      <c r="M43" s="37"/>
      <c r="N43" s="35">
        <f t="shared" si="64"/>
        <v>50.024700250852135</v>
      </c>
    </row>
    <row r="44" spans="1:24" s="26" customFormat="1" x14ac:dyDescent="0.25">
      <c r="A44" s="26">
        <v>2</v>
      </c>
      <c r="B44" s="27">
        <f t="shared" si="55"/>
        <v>143.48797447499655</v>
      </c>
      <c r="C44" s="26">
        <f t="shared" si="56"/>
        <v>91.613641383358441</v>
      </c>
      <c r="D44" s="26">
        <f t="shared" si="57"/>
        <v>161.70273833890872</v>
      </c>
      <c r="E44" s="26">
        <f t="shared" si="58"/>
        <v>0.34044411484011833</v>
      </c>
      <c r="F44" s="26">
        <f t="shared" si="59"/>
        <v>2.1568155049864219</v>
      </c>
      <c r="G44" s="29">
        <f>10^((Sheet5!$C$3*LOG10(($A44-0.06)/1.092)+Sheet5!$C$2-Sheet5!$D$2)/Sheet5!$D$3)</f>
        <v>85.966568476216736</v>
      </c>
      <c r="H44" s="29" cm="1">
        <f t="array" ref="H44">SUM(ABS(IFERROR(LOG10(I44:Z44)-LOG10(G44),0)))</f>
        <v>0.9234492190598298</v>
      </c>
      <c r="I44" s="36">
        <f t="shared" si="60"/>
        <v>162.30079792363591</v>
      </c>
      <c r="J44" s="36">
        <f t="shared" si="61"/>
        <v>159.31049999999999</v>
      </c>
      <c r="K44" s="36">
        <f t="shared" si="62"/>
        <v>120.98562103405158</v>
      </c>
      <c r="L44" s="36">
        <f t="shared" si="63"/>
        <v>84.270646470685151</v>
      </c>
      <c r="M44" s="37"/>
      <c r="N44" s="35">
        <f t="shared" si="64"/>
        <v>143.48797447499655</v>
      </c>
    </row>
    <row r="45" spans="1:24" s="26" customFormat="1" x14ac:dyDescent="0.25">
      <c r="A45" s="26">
        <v>1</v>
      </c>
      <c r="B45" s="27">
        <f t="shared" si="55"/>
        <v>318.41975217261262</v>
      </c>
      <c r="C45" s="26">
        <f t="shared" si="56"/>
        <v>111.69786384922232</v>
      </c>
      <c r="D45" s="26">
        <f t="shared" si="57"/>
        <v>351.20934771600457</v>
      </c>
      <c r="E45" s="26">
        <f t="shared" si="58"/>
        <v>4.060234011407314E-2</v>
      </c>
      <c r="F45" s="26">
        <f t="shared" si="59"/>
        <v>2.5030000000000001</v>
      </c>
      <c r="G45" s="29">
        <f>10^((Sheet5!$C$3*LOG10(($A45-0.06)/1.092)+Sheet5!$C$2-Sheet5!$D$2)/Sheet5!$D$3)</f>
        <v>164.40489298085194</v>
      </c>
      <c r="H45" s="29" cm="1">
        <f t="array" ref="H45">SUM(ABS(IFERROR(LOG10(I45:Z45)-LOG10(G45),0)))</f>
        <v>1.1477221905742523</v>
      </c>
      <c r="I45" s="36">
        <f t="shared" si="60"/>
        <v>358.92193464500571</v>
      </c>
      <c r="J45" s="36">
        <f t="shared" si="61"/>
        <v>320.35899999999998</v>
      </c>
      <c r="K45" s="36">
        <f t="shared" si="62"/>
        <v>158.48931924611153</v>
      </c>
      <c r="L45" s="36">
        <f t="shared" si="63"/>
        <v>100</v>
      </c>
      <c r="M45" s="37"/>
      <c r="N45" s="35">
        <f t="shared" si="64"/>
        <v>318.41975217261262</v>
      </c>
    </row>
    <row r="46" spans="1:24" s="28" customFormat="1" ht="15.75" thickBot="1" x14ac:dyDescent="0.3">
      <c r="A46" s="63" t="s">
        <v>390</v>
      </c>
      <c r="B46" s="32"/>
      <c r="F46" s="28">
        <f>CORREL(F39:F45,E39:E45)</f>
        <v>-0.99644995591002949</v>
      </c>
      <c r="G46" s="30"/>
      <c r="H46" s="30"/>
      <c r="M46" s="37" t="e">
        <f>10^(2.632-1.28*LOG10($A46))</f>
        <v>#VALUE!</v>
      </c>
    </row>
    <row r="47" spans="1:24" s="26" customFormat="1" x14ac:dyDescent="0.25">
      <c r="A47" s="26" t="s">
        <v>185</v>
      </c>
      <c r="E47" s="26">
        <f>INTERCEPT(F49:F55,E49:E55)</f>
        <v>2.5417925073900234</v>
      </c>
      <c r="F47" s="26">
        <f>SLOPE(F49:F55,E49:E55)</f>
        <v>-1.1268568046333212</v>
      </c>
      <c r="G47" s="29" t="s">
        <v>139</v>
      </c>
      <c r="H47" s="29">
        <f>SUM(H49:H55)/7</f>
        <v>3.0894123820798383</v>
      </c>
      <c r="I47" s="62" t="s">
        <v>179</v>
      </c>
      <c r="J47" s="62" t="s">
        <v>116</v>
      </c>
      <c r="K47" s="26" t="s">
        <v>121</v>
      </c>
      <c r="M47" s="62" t="s">
        <v>220</v>
      </c>
      <c r="N47" s="54" t="s">
        <v>115</v>
      </c>
      <c r="O47" s="56" t="s">
        <v>226</v>
      </c>
      <c r="P47" s="56" t="s">
        <v>227</v>
      </c>
      <c r="Q47" s="56" t="s">
        <v>228</v>
      </c>
      <c r="R47" s="56" t="s">
        <v>229</v>
      </c>
      <c r="S47"/>
      <c r="T47" s="64" t="s">
        <v>236</v>
      </c>
      <c r="U47" s="54" t="s">
        <v>120</v>
      </c>
      <c r="V47" s="54" t="s">
        <v>118</v>
      </c>
      <c r="W47" s="62" t="s">
        <v>300</v>
      </c>
      <c r="X47" s="59" t="s">
        <v>371</v>
      </c>
    </row>
    <row r="48" spans="1:24" s="26" customFormat="1" x14ac:dyDescent="0.25">
      <c r="A48" s="26" t="s">
        <v>183</v>
      </c>
      <c r="B48" s="26" t="s">
        <v>177</v>
      </c>
      <c r="E48" s="26" t="s">
        <v>137</v>
      </c>
      <c r="F48" s="26" t="s">
        <v>138</v>
      </c>
      <c r="G48" s="29" t="s">
        <v>361</v>
      </c>
      <c r="H48" s="29" t="s">
        <v>360</v>
      </c>
      <c r="I48" s="36" t="s">
        <v>112</v>
      </c>
      <c r="J48" s="36" t="s">
        <v>112</v>
      </c>
      <c r="K48" s="26" t="s">
        <v>112</v>
      </c>
      <c r="L48" s="26" t="s">
        <v>112</v>
      </c>
      <c r="M48" s="36" t="s">
        <v>112</v>
      </c>
      <c r="N48" s="26" t="s">
        <v>112</v>
      </c>
      <c r="O48" s="26" t="s">
        <v>112</v>
      </c>
      <c r="P48" s="26" t="s">
        <v>112</v>
      </c>
      <c r="Q48" s="26" t="s">
        <v>112</v>
      </c>
      <c r="R48" s="26" t="s">
        <v>112</v>
      </c>
      <c r="S48" s="26" t="s">
        <v>112</v>
      </c>
      <c r="T48" s="36" t="s">
        <v>112</v>
      </c>
      <c r="U48" s="26" t="s">
        <v>112</v>
      </c>
      <c r="V48" s="26" t="s">
        <v>112</v>
      </c>
      <c r="W48" s="36" t="s">
        <v>112</v>
      </c>
      <c r="X48" s="37" t="s">
        <v>377</v>
      </c>
    </row>
    <row r="49" spans="1:28" s="26" customFormat="1" x14ac:dyDescent="0.25">
      <c r="A49" s="26">
        <v>100</v>
      </c>
      <c r="B49" s="27">
        <f>MEDIAN(I49:Z49)</f>
        <v>2.0033572796546131</v>
      </c>
      <c r="C49" s="26">
        <f>_xlfn.PERCENTILE.EXC(I49:Z49,0.2)</f>
        <v>1.3202066096554264</v>
      </c>
      <c r="D49" s="26">
        <f>_xlfn.PERCENTILE.EXC(I49:Z49,0.8)</f>
        <v>3.0199517204020165</v>
      </c>
      <c r="E49" s="26">
        <f>LOG10(A49)</f>
        <v>2</v>
      </c>
      <c r="F49" s="26">
        <f>LOG10(B49)</f>
        <v>0.3017584084776056</v>
      </c>
      <c r="G49" s="29">
        <f>10^((Sheet5!$C$3*LOG10($A49)+Sheet5!$C$2-Sheet5!$D$2)/Sheet5!$D$3)</f>
        <v>2.3332954241284618</v>
      </c>
      <c r="H49" s="29" cm="1">
        <f t="array" ref="H49">SUM(ABS(IFERROR(LOG10(I49:Z49)-LOG10(G49),0)))</f>
        <v>2.1772355573276876</v>
      </c>
      <c r="I49" s="36">
        <f>10^(2.81-1.32*LOG10($A49))</f>
        <v>1.4791083881682072</v>
      </c>
      <c r="J49" s="36"/>
      <c r="K49" s="26">
        <f>10^(2.48-1.057*LOG10($A49))</f>
        <v>2.3227367963571077</v>
      </c>
      <c r="L49" s="26">
        <f>10^(2.315-0.858*LOG10($A49))</f>
        <v>3.9719154946944033</v>
      </c>
      <c r="M49" s="36">
        <f>10^(2.256-0.954*LOG10($A49))</f>
        <v>2.2284351492703034</v>
      </c>
      <c r="N49" s="26">
        <f>10^(2.53-1.14*LOG10($A49))</f>
        <v>1.778279410038923</v>
      </c>
      <c r="O49" s="26">
        <f>10^(2.89-1.46*LOG10($A49))</f>
        <v>0.93325430079699145</v>
      </c>
      <c r="P49" s="26">
        <f>443.45*$A49^-1.3</f>
        <v>1.1138960380529221</v>
      </c>
      <c r="Q49" s="26">
        <f>10^(2.49-1.057*LOG10($A49))</f>
        <v>2.3768402866248786</v>
      </c>
      <c r="R49" s="26">
        <f>512.64*$A49^-1.25</f>
        <v>1.6211100197087165</v>
      </c>
      <c r="S49" s="26">
        <f>151.58*$A49^-1.03</f>
        <v>1.3202066096554264</v>
      </c>
      <c r="T49" s="36">
        <f>122.37/$A49^0.849</f>
        <v>2.4528724198867473</v>
      </c>
      <c r="U49" s="26">
        <f>10^(2.669-1.065*LOG10($A49))</f>
        <v>3.4593937782612207</v>
      </c>
      <c r="V49" s="26">
        <f>10^(2.64-1.08*LOG10($A49))</f>
        <v>3.0199517204020165</v>
      </c>
      <c r="W49" s="39">
        <f>1.03+2600/(-7.3521+$A49^1.84)</f>
        <v>1.5740526978158089</v>
      </c>
      <c r="X49" s="40"/>
    </row>
    <row r="50" spans="1:28" s="26" customFormat="1" x14ac:dyDescent="0.25">
      <c r="A50" s="26">
        <v>50</v>
      </c>
      <c r="B50" s="27">
        <f t="shared" ref="B50:B55" si="65">MEDIAN(I50:Z50)</f>
        <v>4.1179979984751025</v>
      </c>
      <c r="C50" s="26">
        <f t="shared" ref="C50:C55" si="66">_xlfn.PERCENTILE.EXC(I50:Z50,0.2)</f>
        <v>2.7427337685917861</v>
      </c>
      <c r="D50" s="26">
        <f t="shared" ref="D50:D55" si="67">_xlfn.PERCENTILE.EXC(I50:Z50,0.8)</f>
        <v>6.38428690017862</v>
      </c>
      <c r="E50" s="26">
        <f t="shared" ref="E50:E55" si="68">LOG10(A50)</f>
        <v>1.6989700043360187</v>
      </c>
      <c r="F50" s="26">
        <f t="shared" ref="F50:F55" si="69">LOG10(B50)</f>
        <v>0.61468613119618698</v>
      </c>
      <c r="G50" s="29">
        <f>10^((Sheet5!$C$3*LOG10($A50)+Sheet5!$C$2-Sheet5!$D$2)/Sheet5!$D$3)</f>
        <v>4.3385607557833836</v>
      </c>
      <c r="H50" s="29" cm="1">
        <f t="array" ref="H50">SUM(ABS(IFERROR(LOG10(I50:Z50)-LOG10(G50),0)))</f>
        <v>1.6850838879237753</v>
      </c>
      <c r="I50" s="36">
        <f t="shared" ref="I50:I55" si="70">10^(2.81-1.32*LOG10($A50))</f>
        <v>3.6928323721739948</v>
      </c>
      <c r="J50" s="36"/>
      <c r="K50" s="26">
        <f t="shared" ref="K50:K55" si="71">10^(2.48-1.057*LOG10($A50))</f>
        <v>4.8326874166214457</v>
      </c>
      <c r="L50" s="26">
        <f t="shared" ref="L50:L55" si="72">10^(2.315-0.858*LOG10($A50))</f>
        <v>7.1991916697116176</v>
      </c>
      <c r="M50" s="36">
        <f t="shared" ref="M50:M55" si="73">10^(2.256-0.954*LOG10($A50))</f>
        <v>4.3170056381903423</v>
      </c>
      <c r="N50" s="26">
        <f t="shared" ref="N50:N53" si="74">10^(2.53-1.14*LOG10($A50))</f>
        <v>3.9189903587598618</v>
      </c>
      <c r="O50" s="26">
        <f t="shared" ref="O50:O55" si="75">10^(2.89-1.46*LOG10($A50))</f>
        <v>2.5674606354100584</v>
      </c>
      <c r="P50" s="26">
        <f t="shared" ref="P50:P55" si="76">443.45*$A50^-1.3</f>
        <v>2.7427337685917861</v>
      </c>
      <c r="Q50" s="26">
        <f t="shared" ref="Q50:Q55" si="77">10^(2.49-1.057*LOG10($A50))</f>
        <v>4.9452551673121103</v>
      </c>
      <c r="R50" s="26">
        <f t="shared" ref="R50:R55" si="78">512.64*$A50^-1.25</f>
        <v>3.8556711392796195</v>
      </c>
      <c r="S50" s="26">
        <f t="shared" ref="S50:S55" si="79">151.58*$A50^-1.03</f>
        <v>2.6958939137939493</v>
      </c>
      <c r="T50" s="36">
        <f t="shared" ref="T50:T55" si="80">122.37/$A50^0.849</f>
        <v>4.4182412532049282</v>
      </c>
      <c r="U50" s="26">
        <f t="shared" ref="U50:U55" si="81">10^(2.669-1.065*LOG10($A50))</f>
        <v>7.2376394645020801</v>
      </c>
      <c r="V50" s="26">
        <f t="shared" ref="V50:V55" si="82">10^(2.64-1.08*LOG10($A50))</f>
        <v>6.38428690017862</v>
      </c>
      <c r="W50" s="39">
        <f t="shared" ref="W50:W53" si="83">1.03+2600/(-7.3521+$A50^1.84)</f>
        <v>2.9855253146066194</v>
      </c>
      <c r="X50" s="40"/>
    </row>
    <row r="51" spans="1:28" s="26" customFormat="1" x14ac:dyDescent="0.25">
      <c r="A51" s="26">
        <v>20</v>
      </c>
      <c r="B51" s="27">
        <f t="shared" si="65"/>
        <v>11.848443300075946</v>
      </c>
      <c r="C51" s="26">
        <f t="shared" si="66"/>
        <v>9.1446414818559028</v>
      </c>
      <c r="D51" s="26">
        <f t="shared" si="67"/>
        <v>15.246923762102067</v>
      </c>
      <c r="E51" s="26">
        <f t="shared" si="68"/>
        <v>1.3010299956639813</v>
      </c>
      <c r="F51" s="26">
        <f t="shared" si="69"/>
        <v>1.0736612945995145</v>
      </c>
      <c r="G51" s="29">
        <f>10^((Sheet5!$C$3*LOG10($A51)+Sheet5!$C$2-Sheet5!$D$2)/Sheet5!$D$3)</f>
        <v>9.8501155577308683</v>
      </c>
      <c r="H51" s="29" cm="1">
        <f t="array" ref="H51">SUM(ABS(IFERROR(LOG10(I51:Z51)-LOG10(G51),0)))</f>
        <v>1.83167785505547</v>
      </c>
      <c r="I51" s="36">
        <f t="shared" si="70"/>
        <v>12.377712919197153</v>
      </c>
      <c r="J51" s="36">
        <f t="shared" ref="J51:J54" si="84">0.7*10^(1.55-0.55*LOG10($A61))</f>
        <v>4.7811408986403841</v>
      </c>
      <c r="K51" s="26">
        <f t="shared" si="71"/>
        <v>12.729498510374203</v>
      </c>
      <c r="L51" s="26">
        <f t="shared" si="72"/>
        <v>15.802153047399026</v>
      </c>
      <c r="M51" s="36">
        <f t="shared" si="73"/>
        <v>10.347069927344581</v>
      </c>
      <c r="N51" s="26">
        <f t="shared" si="74"/>
        <v>11.13847680855991</v>
      </c>
      <c r="O51" s="26">
        <f t="shared" si="75"/>
        <v>9.7835440858021219</v>
      </c>
      <c r="P51" s="26">
        <f t="shared" si="76"/>
        <v>9.0262148105020099</v>
      </c>
      <c r="Q51" s="26">
        <f t="shared" si="77"/>
        <v>13.026006620914226</v>
      </c>
      <c r="R51" s="26">
        <f t="shared" si="78"/>
        <v>12.120624460984706</v>
      </c>
      <c r="S51" s="26">
        <f t="shared" si="79"/>
        <v>6.9275713457773715</v>
      </c>
      <c r="T51" s="36">
        <f t="shared" si="80"/>
        <v>9.6183481672714723</v>
      </c>
      <c r="U51" s="26">
        <f t="shared" si="81"/>
        <v>19.20450221416186</v>
      </c>
      <c r="V51" s="26">
        <f t="shared" si="82"/>
        <v>17.174638503675457</v>
      </c>
      <c r="W51" s="39">
        <f t="shared" si="83"/>
        <v>11.848443300075946</v>
      </c>
      <c r="X51" s="40"/>
    </row>
    <row r="52" spans="1:28" s="26" customFormat="1" x14ac:dyDescent="0.25">
      <c r="A52" s="26">
        <v>10</v>
      </c>
      <c r="B52" s="27">
        <f t="shared" si="65"/>
        <v>26.915348039269173</v>
      </c>
      <c r="C52" s="26">
        <f t="shared" si="66"/>
        <v>17.86899884299817</v>
      </c>
      <c r="D52" s="26">
        <f t="shared" si="67"/>
        <v>35.226835246635311</v>
      </c>
      <c r="E52" s="26">
        <f t="shared" si="68"/>
        <v>1</v>
      </c>
      <c r="F52" s="26">
        <f t="shared" si="69"/>
        <v>1.4300000000000002</v>
      </c>
      <c r="G52" s="29">
        <f>10^((Sheet5!$C$3*LOG10($A52)+Sheet5!$C$2-Sheet5!$D$2)/Sheet5!$D$3)</f>
        <v>18.315436766720207</v>
      </c>
      <c r="H52" s="29" cm="1">
        <f t="array" ref="H52">SUM(ABS(IFERROR(LOG10(I52:Z52)-LOG10(G52),0)))</f>
        <v>2.9301634953304712</v>
      </c>
      <c r="I52" s="36">
        <f t="shared" si="70"/>
        <v>30.902954325135919</v>
      </c>
      <c r="J52" s="36">
        <f t="shared" si="84"/>
        <v>7</v>
      </c>
      <c r="K52" s="26">
        <f t="shared" si="71"/>
        <v>26.485001386067019</v>
      </c>
      <c r="L52" s="26">
        <f t="shared" si="72"/>
        <v>28.641779699065808</v>
      </c>
      <c r="M52" s="36">
        <f t="shared" si="73"/>
        <v>20.044720273651613</v>
      </c>
      <c r="N52" s="26">
        <f t="shared" si="74"/>
        <v>24.547089156850305</v>
      </c>
      <c r="O52" s="26">
        <f t="shared" si="75"/>
        <v>26.915348039269173</v>
      </c>
      <c r="P52" s="26">
        <f t="shared" si="76"/>
        <v>22.22514787520138</v>
      </c>
      <c r="Q52" s="26">
        <f t="shared" si="77"/>
        <v>27.101916318908451</v>
      </c>
      <c r="R52" s="26">
        <f t="shared" si="78"/>
        <v>28.827865694558042</v>
      </c>
      <c r="S52" s="26">
        <f t="shared" si="79"/>
        <v>14.146268691480786</v>
      </c>
      <c r="T52" s="36">
        <f t="shared" si="80"/>
        <v>17.325068485334807</v>
      </c>
      <c r="U52" s="26">
        <f t="shared" si="81"/>
        <v>40.179081084894008</v>
      </c>
      <c r="V52" s="26">
        <f t="shared" si="82"/>
        <v>36.307805477010156</v>
      </c>
      <c r="W52" s="39">
        <f t="shared" si="83"/>
        <v>43.080106294353655</v>
      </c>
      <c r="X52" s="40"/>
    </row>
    <row r="53" spans="1:28" s="26" customFormat="1" x14ac:dyDescent="0.25">
      <c r="A53" s="26">
        <v>5</v>
      </c>
      <c r="B53" s="27">
        <f t="shared" si="65"/>
        <v>55.104708001521395</v>
      </c>
      <c r="C53" s="26">
        <f t="shared" si="66"/>
        <v>32.731723110866909</v>
      </c>
      <c r="D53" s="26">
        <f t="shared" si="67"/>
        <v>77.074565257562611</v>
      </c>
      <c r="E53" s="26">
        <f t="shared" si="68"/>
        <v>0.69897000433601886</v>
      </c>
      <c r="F53" s="26">
        <f t="shared" si="69"/>
        <v>1.7411887054168285</v>
      </c>
      <c r="G53" s="29">
        <f>10^((Sheet5!$C$3*LOG10($A53)+Sheet5!$C$2-Sheet5!$D$2)/Sheet5!$D$3)</f>
        <v>34.055968378202905</v>
      </c>
      <c r="H53" s="29" cm="1">
        <f t="array" ref="H53">SUM(ABS(IFERROR(LOG10(I53:Z53)-LOG10(G53),0)))</f>
        <v>4.2543710933641705</v>
      </c>
      <c r="I53" s="36">
        <f t="shared" si="70"/>
        <v>77.154203870756746</v>
      </c>
      <c r="J53" s="36">
        <f t="shared" si="84"/>
        <v>10.24859987161938</v>
      </c>
      <c r="K53" s="26">
        <f t="shared" si="71"/>
        <v>55.104708001521395</v>
      </c>
      <c r="L53" s="26">
        <f t="shared" si="72"/>
        <v>51.913909571002748</v>
      </c>
      <c r="M53" s="36">
        <f t="shared" si="73"/>
        <v>38.83136131003738</v>
      </c>
      <c r="N53" s="26">
        <f t="shared" si="74"/>
        <v>54.097126243625247</v>
      </c>
      <c r="O53" s="26">
        <f t="shared" si="75"/>
        <v>74.04637355560061</v>
      </c>
      <c r="P53" s="26">
        <f t="shared" si="76"/>
        <v>54.724733284637658</v>
      </c>
      <c r="Q53" s="26">
        <f t="shared" si="77"/>
        <v>56.388261539634037</v>
      </c>
      <c r="R53" s="26">
        <f t="shared" si="78"/>
        <v>68.564605988622603</v>
      </c>
      <c r="S53" s="26">
        <f t="shared" si="79"/>
        <v>28.887023735027839</v>
      </c>
      <c r="T53" s="36">
        <f t="shared" si="80"/>
        <v>31.206813561074288</v>
      </c>
      <c r="U53" s="26">
        <f t="shared" si="81"/>
        <v>84.061463235220998</v>
      </c>
      <c r="V53" s="26">
        <f t="shared" si="82"/>
        <v>76.756010804786058</v>
      </c>
      <c r="W53" s="39">
        <f t="shared" si="83"/>
        <v>218.19893972848908</v>
      </c>
      <c r="X53" s="40"/>
    </row>
    <row r="54" spans="1:28" s="26" customFormat="1" x14ac:dyDescent="0.25">
      <c r="A54" s="26">
        <v>2</v>
      </c>
      <c r="B54" s="27">
        <f t="shared" si="65"/>
        <v>148.52901282267831</v>
      </c>
      <c r="C54" s="26">
        <f t="shared" si="66"/>
        <v>72.971427790404206</v>
      </c>
      <c r="D54" s="26">
        <f t="shared" si="67"/>
        <v>230.16175523085818</v>
      </c>
      <c r="E54" s="26">
        <f t="shared" si="68"/>
        <v>0.3010299956639812</v>
      </c>
      <c r="F54" s="26">
        <f t="shared" si="69"/>
        <v>2.1718112945831725</v>
      </c>
      <c r="G54" s="29">
        <f>10^((Sheet5!$C$3*LOG10($A54)+Sheet5!$C$2-Sheet5!$D$2)/Sheet5!$D$3)</f>
        <v>77.319471326651097</v>
      </c>
      <c r="H54" s="29" cm="1">
        <f t="array" ref="H54">SUM(ABS(IFERROR(LOG10(I54:Z54)-LOG10(G54),0)))</f>
        <v>4.3243789943342774</v>
      </c>
      <c r="I54" s="36">
        <f t="shared" si="70"/>
        <v>258.60707710900692</v>
      </c>
      <c r="J54" s="36">
        <f t="shared" si="84"/>
        <v>16.964128066498585</v>
      </c>
      <c r="K54" s="26">
        <f t="shared" si="71"/>
        <v>145.14807972214402</v>
      </c>
      <c r="L54" s="26">
        <f t="shared" si="72"/>
        <v>113.95050749672284</v>
      </c>
      <c r="M54" s="36">
        <f t="shared" si="73"/>
        <v>93.071643755686082</v>
      </c>
      <c r="O54" s="26">
        <f t="shared" si="75"/>
        <v>282.16049355681315</v>
      </c>
      <c r="P54" s="26">
        <f t="shared" si="76"/>
        <v>180.09666258208631</v>
      </c>
      <c r="Q54" s="26">
        <f t="shared" si="77"/>
        <v>148.52901282267831</v>
      </c>
      <c r="R54" s="26">
        <f t="shared" si="78"/>
        <v>215.53856915783211</v>
      </c>
      <c r="S54" s="26">
        <f t="shared" si="79"/>
        <v>74.230264354113189</v>
      </c>
      <c r="T54" s="36">
        <f t="shared" si="80"/>
        <v>67.936081535568292</v>
      </c>
      <c r="U54" s="26">
        <f t="shared" si="81"/>
        <v>223.05042476132095</v>
      </c>
      <c r="V54" s="26">
        <f t="shared" si="82"/>
        <v>206.48457050379841</v>
      </c>
      <c r="W54" s="39"/>
      <c r="X54" s="40"/>
    </row>
    <row r="55" spans="1:28" s="26" customFormat="1" x14ac:dyDescent="0.25">
      <c r="A55" s="26">
        <v>1</v>
      </c>
      <c r="B55" s="27">
        <f t="shared" si="65"/>
        <v>372.77268774576282</v>
      </c>
      <c r="C55" s="26">
        <f t="shared" si="66"/>
        <v>168.81306445157409</v>
      </c>
      <c r="D55" s="26">
        <f t="shared" si="67"/>
        <v>565.84569161386241</v>
      </c>
      <c r="E55" s="26">
        <f t="shared" si="68"/>
        <v>0</v>
      </c>
      <c r="F55" s="26">
        <f t="shared" si="69"/>
        <v>2.5714440850236056</v>
      </c>
      <c r="G55" s="29">
        <f>10^((Sheet5!$C$3*LOG10($A55)+Sheet5!$C$2-Sheet5!$D$2)/Sheet5!$D$3)</f>
        <v>143.76886033667455</v>
      </c>
      <c r="H55" s="29" cm="1">
        <f t="array" ref="H55">SUM(ABS(IFERROR(LOG10(I55:Z55)-LOG10(G55),0)))</f>
        <v>4.4229757912230125</v>
      </c>
      <c r="I55" s="36">
        <f t="shared" si="70"/>
        <v>645.65422903465594</v>
      </c>
      <c r="J55" s="36"/>
      <c r="K55" s="26">
        <f t="shared" si="71"/>
        <v>301.99517204020168</v>
      </c>
      <c r="L55" s="26">
        <f t="shared" si="72"/>
        <v>206.53801558105295</v>
      </c>
      <c r="M55" s="36">
        <f t="shared" si="73"/>
        <v>180.30177408595682</v>
      </c>
      <c r="O55" s="26">
        <f t="shared" si="75"/>
        <v>776.24711662869231</v>
      </c>
      <c r="P55" s="26">
        <f t="shared" si="76"/>
        <v>443.45</v>
      </c>
      <c r="Q55" s="26">
        <f t="shared" si="77"/>
        <v>309.02954325135937</v>
      </c>
      <c r="R55" s="26">
        <f t="shared" si="78"/>
        <v>512.64</v>
      </c>
      <c r="S55" s="26">
        <f t="shared" si="79"/>
        <v>151.58000000000001</v>
      </c>
      <c r="T55" s="36">
        <f t="shared" si="80"/>
        <v>122.37</v>
      </c>
      <c r="U55" s="26">
        <f t="shared" si="81"/>
        <v>466.65938031428885</v>
      </c>
      <c r="V55" s="26">
        <f t="shared" si="82"/>
        <v>436.51583224016622</v>
      </c>
      <c r="W55" s="39"/>
      <c r="X55" s="40"/>
    </row>
    <row r="56" spans="1:28" s="28" customFormat="1" ht="15.75" thickBot="1" x14ac:dyDescent="0.3">
      <c r="B56" s="32"/>
      <c r="F56" s="28">
        <f>CORREL(F49:F55,E49:E55)</f>
        <v>-0.99967961933427563</v>
      </c>
      <c r="G56" s="30"/>
      <c r="H56" s="30"/>
      <c r="X56" s="40">
        <f t="shared" ref="X56" si="85">1.405*$A56+4.939</f>
        <v>4.9390000000000001</v>
      </c>
    </row>
    <row r="57" spans="1:28" s="26" customFormat="1" x14ac:dyDescent="0.25">
      <c r="A57" s="26" t="s">
        <v>185</v>
      </c>
      <c r="E57" s="26">
        <f>INTERCEPT(F59:F65,E59:E65)</f>
        <v>2.4991066870961536</v>
      </c>
      <c r="F57" s="26">
        <f>SLOPE(F59:F65,E59:E65)</f>
        <v>-1.128802914013908</v>
      </c>
      <c r="G57" s="29" t="s">
        <v>139</v>
      </c>
      <c r="H57" s="29">
        <f>SUM(H59:H65)/7</f>
        <v>3.4630300174120423</v>
      </c>
      <c r="I57" s="36" t="s">
        <v>195</v>
      </c>
      <c r="J57" s="62" t="s">
        <v>116</v>
      </c>
      <c r="K57" s="62" t="s">
        <v>191</v>
      </c>
      <c r="L57" s="62" t="s">
        <v>197</v>
      </c>
      <c r="M57" s="62" t="s">
        <v>119</v>
      </c>
      <c r="N57" s="62" t="s">
        <v>113</v>
      </c>
      <c r="O57" s="53" t="s">
        <v>211</v>
      </c>
      <c r="P57" s="53" t="s">
        <v>219</v>
      </c>
      <c r="Q57" s="54" t="s">
        <v>223</v>
      </c>
      <c r="R57" s="62" t="s">
        <v>109</v>
      </c>
      <c r="S57" s="62" t="s">
        <v>391</v>
      </c>
      <c r="T57" s="62" t="s">
        <v>300</v>
      </c>
      <c r="U57" s="26" t="s">
        <v>114</v>
      </c>
      <c r="V57" s="54" t="s">
        <v>108</v>
      </c>
      <c r="W57" s="54" t="s">
        <v>400</v>
      </c>
      <c r="X57" s="60"/>
      <c r="Y57" s="62" t="s">
        <v>196</v>
      </c>
      <c r="Z57" s="62" t="s">
        <v>392</v>
      </c>
      <c r="AA57" s="40" t="s">
        <v>299</v>
      </c>
      <c r="AB57" s="59" t="s">
        <v>371</v>
      </c>
    </row>
    <row r="58" spans="1:28" s="26" customFormat="1" x14ac:dyDescent="0.25">
      <c r="A58" s="26" t="s">
        <v>183</v>
      </c>
      <c r="B58" s="26" t="s">
        <v>190</v>
      </c>
      <c r="E58" s="26" t="s">
        <v>137</v>
      </c>
      <c r="F58" s="26" t="s">
        <v>138</v>
      </c>
      <c r="G58" s="29" t="s">
        <v>361</v>
      </c>
      <c r="H58" s="29" t="s">
        <v>360</v>
      </c>
      <c r="I58" s="36" t="s">
        <v>112</v>
      </c>
      <c r="J58" s="36" t="s">
        <v>112</v>
      </c>
      <c r="K58" s="36" t="s">
        <v>112</v>
      </c>
      <c r="L58" s="36" t="s">
        <v>112</v>
      </c>
      <c r="M58" s="36" t="s">
        <v>112</v>
      </c>
      <c r="N58" s="36" t="s">
        <v>112</v>
      </c>
      <c r="O58" s="26" t="s">
        <v>112</v>
      </c>
      <c r="P58" s="26" t="s">
        <v>112</v>
      </c>
      <c r="Q58" s="26" t="s">
        <v>112</v>
      </c>
      <c r="R58" s="36" t="s">
        <v>112</v>
      </c>
      <c r="S58" s="36" t="s">
        <v>377</v>
      </c>
      <c r="T58" s="36" t="s">
        <v>112</v>
      </c>
      <c r="U58" s="26" t="s">
        <v>112</v>
      </c>
      <c r="V58" s="26" t="s">
        <v>112</v>
      </c>
      <c r="W58" s="26" t="s">
        <v>112</v>
      </c>
      <c r="X58" s="35"/>
      <c r="Y58" s="36" t="s">
        <v>377</v>
      </c>
      <c r="Z58" s="36" t="s">
        <v>377</v>
      </c>
      <c r="AA58" s="37"/>
      <c r="AB58" s="37" t="s">
        <v>377</v>
      </c>
    </row>
    <row r="59" spans="1:28" s="26" customFormat="1" x14ac:dyDescent="0.25">
      <c r="A59" s="26">
        <v>100</v>
      </c>
      <c r="B59" s="27">
        <f t="shared" ref="B59:B65" si="86">MEDIAN(I59:Z59)</f>
        <v>1.6802846170244981</v>
      </c>
      <c r="C59" s="26">
        <f t="shared" ref="C59:C65" si="87">_xlfn.PERCENTILE.EXC(I59:Z59,0.2)</f>
        <v>1.2027767828895026</v>
      </c>
      <c r="D59" s="26">
        <f t="shared" ref="D59:D65" si="88">_xlfn.PERCENTILE.EXC(I59:Z59,0.8)</f>
        <v>3.1236616744290813</v>
      </c>
      <c r="E59" s="26">
        <f>LOG10(A59)</f>
        <v>2</v>
      </c>
      <c r="F59" s="26">
        <f>LOG10(B59)</f>
        <v>0.22538285144841824</v>
      </c>
      <c r="G59" s="29">
        <f>10^((Sheet5!$C$3*LOG10($A59)+Sheet5!$C$2-Sheet5!$E$2)/Sheet5!$E$3)</f>
        <v>1.8164288982512444</v>
      </c>
      <c r="H59" s="29" cm="1">
        <f t="array" ref="H59">SUM(ABS(IFERROR(LOG10(I59:Z59)-LOG10(G59),0)))</f>
        <v>5.2641987942057797</v>
      </c>
      <c r="I59" s="36">
        <f>IF($A59&gt;2,410*$A59^-1.27,66.66*$A59^2 - 330*$A6 + 563.33)</f>
        <v>1.1824529162819077</v>
      </c>
      <c r="J59" s="36"/>
      <c r="K59" s="36">
        <f>2559.44/(-7.35+$A59^1.84)+1.04</f>
        <v>1.5755652403879596</v>
      </c>
      <c r="L59" s="36">
        <f>10^(2.83-1.33*LOG10($A59))</f>
        <v>1.4791083881682072</v>
      </c>
      <c r="M59" s="36">
        <f>10^(LOG10(292)-1.12*LOG10($A59))</f>
        <v>1.6802846170244981</v>
      </c>
      <c r="N59" s="36">
        <f t="shared" ref="N59:N65" si="89">10^(2.438-1.065*LOG10($A59))</f>
        <v>2.0323570109362232</v>
      </c>
      <c r="O59">
        <f>10^(2.494-1.0672*LOG10($A59))</f>
        <v>2.2887586570623646</v>
      </c>
      <c r="P59">
        <f>10^(1.675-0.7852*LOG10($A59))</f>
        <v>1.2723306813254591</v>
      </c>
      <c r="Q59">
        <f>10^(2.71545-1.3152*LOG10($A59))</f>
        <v>1.2163260272945657</v>
      </c>
      <c r="R59" s="36">
        <f>304*$A59^-1.15</f>
        <v>1.5236091902269073</v>
      </c>
      <c r="S59" s="36">
        <f>EXP(5.82-0.95*LOG($A59))</f>
        <v>50.400444778065506</v>
      </c>
      <c r="T59" s="39">
        <f>10^(2.26-0.95*LOG10($A59))</f>
        <v>2.2908676527677727</v>
      </c>
      <c r="U59" s="26">
        <f>10^(2.6-1.07*LOG10($A59))</f>
        <v>2.8840315031266059</v>
      </c>
      <c r="V59" s="26">
        <f>314.08*$A59^-1.461</f>
        <v>0.37587226607297863</v>
      </c>
      <c r="W59" s="26">
        <f>1/(0.002871*$A59)</f>
        <v>3.4831069313827938</v>
      </c>
      <c r="X59" s="35">
        <f>1/(0.017019*$A59)^2</f>
        <v>0.34524859782374412</v>
      </c>
      <c r="Y59" s="36">
        <f>10^(2.56-1.15*LOG10($A59))</f>
        <v>1.8197008586099845</v>
      </c>
      <c r="Z59" s="36">
        <f>10^(LOG10(153.56)-0.511*LOG10($A59))</f>
        <v>14.597487211385866</v>
      </c>
      <c r="AA59" s="40"/>
    </row>
    <row r="60" spans="1:28" s="26" customFormat="1" x14ac:dyDescent="0.25">
      <c r="A60" s="26">
        <v>50</v>
      </c>
      <c r="B60" s="27">
        <f t="shared" si="86"/>
        <v>3.7185180525897223</v>
      </c>
      <c r="C60" s="26">
        <f t="shared" si="87"/>
        <v>2.5880320464469087</v>
      </c>
      <c r="D60" s="26">
        <f t="shared" si="88"/>
        <v>6.4193847270180484</v>
      </c>
      <c r="E60" s="26">
        <f t="shared" ref="E60:E65" si="90">LOG10(A60)</f>
        <v>1.6989700043360187</v>
      </c>
      <c r="F60" s="26">
        <f t="shared" ref="F60:F65" si="91">LOG10(B60)</f>
        <v>0.57036989423309503</v>
      </c>
      <c r="G60" s="29">
        <f>10^((Sheet5!$C$3*LOG10($A60)+Sheet5!$C$2-Sheet5!$E$2)/Sheet5!$E$3)</f>
        <v>3.9870523210187083</v>
      </c>
      <c r="H60" s="29" cm="1">
        <f t="array" ref="H60">SUM(ABS(IFERROR(LOG10(I60:Z60)-LOG10(G60),0)))</f>
        <v>4.366053816893233</v>
      </c>
      <c r="I60" s="36">
        <f t="shared" ref="I60:I65" si="92">IF($A60&gt;2,410*$A60^-1.27,66.66*$A60^2 - 330*$A60 + 563.33)</f>
        <v>2.8516219646569865</v>
      </c>
      <c r="J60" s="36"/>
      <c r="K60" s="36">
        <f t="shared" ref="K60:K63" si="93">2559.44/(-7.35+$A60^1.84)+1.04</f>
        <v>2.9650160792075582</v>
      </c>
      <c r="L60" s="36">
        <f t="shared" ref="L60:L63" si="94">10^(2.83-1.33*LOG10($A60))</f>
        <v>3.7185180525897223</v>
      </c>
      <c r="M60" s="36">
        <f t="shared" ref="M60:M64" si="95">10^(LOG10(292)-1.12*LOG10($A60))</f>
        <v>3.6520477445735366</v>
      </c>
      <c r="N60" s="36">
        <f t="shared" si="89"/>
        <v>4.252036122844288</v>
      </c>
      <c r="O60">
        <f t="shared" ref="O60:O65" si="96">10^(2.494-1.0672*LOG10($A60))</f>
        <v>4.7957795491042905</v>
      </c>
      <c r="P60">
        <f t="shared" ref="P60:P65" si="97">10^(1.675-0.7852*LOG10($A60))</f>
        <v>2.1926471691317921</v>
      </c>
      <c r="Q60">
        <f t="shared" ref="Q60:Q65" si="98">10^(2.71545-1.3152*LOG10($A60))</f>
        <v>3.0266670603951411</v>
      </c>
      <c r="R60" s="36">
        <f t="shared" ref="R60:R65" si="99">304*$A60^-1.15</f>
        <v>3.3811004896755747</v>
      </c>
      <c r="S60" s="36">
        <f t="shared" ref="S60:S65" si="100">EXP(5.82-0.95*LOG($A60))</f>
        <v>67.086209140092194</v>
      </c>
      <c r="T60" s="39">
        <f t="shared" ref="T60:T65" si="101">10^(2.26-0.95*LOG10($A60))</f>
        <v>4.4256645811343622</v>
      </c>
      <c r="U60" s="26">
        <f t="shared" ref="U60:U65" si="102">10^(2.6-1.07*LOG10($A60))</f>
        <v>6.0548319698530211</v>
      </c>
      <c r="V60" s="26">
        <f t="shared" ref="V60:V65" si="103">314.08*$A60^-1.461</f>
        <v>1.0347730420187677</v>
      </c>
      <c r="W60" s="26">
        <f t="shared" ref="W60:W62" si="104">1/(0.002871*$A60)</f>
        <v>6.9662138627655876</v>
      </c>
      <c r="X60" s="35">
        <f t="shared" ref="X60:X61" si="105">1/(0.017019*$A60)^2</f>
        <v>1.3809943912949765</v>
      </c>
      <c r="Y60" s="36">
        <f t="shared" ref="Y60:Y65" si="106">10^(2.56-1.15*LOG10($A60))</f>
        <v>4.0381690420185699</v>
      </c>
      <c r="Z60" s="36">
        <f t="shared" ref="Z60:Z65" si="107">10^(LOG10(153.56)-0.511*LOG10($A60))</f>
        <v>20.801968348280706</v>
      </c>
      <c r="AA60" s="40"/>
    </row>
    <row r="61" spans="1:28" s="26" customFormat="1" x14ac:dyDescent="0.25">
      <c r="A61" s="26">
        <v>20</v>
      </c>
      <c r="B61" s="27">
        <f t="shared" si="86"/>
        <v>10.925569480208182</v>
      </c>
      <c r="C61" s="26">
        <f t="shared" si="87"/>
        <v>8.2710122132292767</v>
      </c>
      <c r="D61" s="26">
        <f t="shared" si="88"/>
        <v>16.394939673516291</v>
      </c>
      <c r="E61" s="26">
        <f t="shared" si="90"/>
        <v>1.3010299956639813</v>
      </c>
      <c r="F61" s="26">
        <f t="shared" si="91"/>
        <v>1.0384440832320423</v>
      </c>
      <c r="G61" s="29">
        <f>10^((Sheet5!$C$3*LOG10($A61)+Sheet5!$C$2-Sheet5!$E$2)/Sheet5!$E$3)</f>
        <v>11.27203980086202</v>
      </c>
      <c r="H61" s="29" cm="1">
        <f t="array" ref="H61">SUM(ABS(IFERROR(LOG10(I61:Z61)-LOG10(G61),0)))</f>
        <v>3.3463670903101379</v>
      </c>
      <c r="I61" s="36">
        <f t="shared" si="92"/>
        <v>9.1301047918006795</v>
      </c>
      <c r="J61" s="36">
        <f>10^(1.55-0.55*LOG10($A61))</f>
        <v>6.8302012837719772</v>
      </c>
      <c r="K61" s="36">
        <f t="shared" si="93"/>
        <v>11.689582528825536</v>
      </c>
      <c r="L61" s="36">
        <f t="shared" si="94"/>
        <v>12.578536252135418</v>
      </c>
      <c r="M61" s="36">
        <f t="shared" si="95"/>
        <v>10.191292262109164</v>
      </c>
      <c r="N61" s="36">
        <f t="shared" si="89"/>
        <v>11.282440571454616</v>
      </c>
      <c r="O61">
        <f t="shared" si="96"/>
        <v>12.750898498477497</v>
      </c>
      <c r="P61">
        <f t="shared" si="97"/>
        <v>4.5022670084183556</v>
      </c>
      <c r="Q61">
        <f t="shared" si="98"/>
        <v>10.100325030756956</v>
      </c>
      <c r="R61" s="36">
        <f t="shared" si="99"/>
        <v>9.69815427832979</v>
      </c>
      <c r="S61" s="36">
        <f t="shared" si="100"/>
        <v>97.907338328668814</v>
      </c>
      <c r="T61" s="39">
        <f t="shared" si="101"/>
        <v>10.568698388961748</v>
      </c>
      <c r="U61" s="26">
        <f t="shared" si="102"/>
        <v>16.139790927666869</v>
      </c>
      <c r="V61" s="26">
        <f t="shared" si="103"/>
        <v>3.9467122038772899</v>
      </c>
      <c r="W61" s="26">
        <f t="shared" si="104"/>
        <v>17.415534656913966</v>
      </c>
      <c r="X61" s="35">
        <f t="shared" si="105"/>
        <v>8.6312149455936016</v>
      </c>
      <c r="Y61" s="36">
        <f t="shared" si="106"/>
        <v>11.582851941566835</v>
      </c>
      <c r="Z61" s="36">
        <f t="shared" si="107"/>
        <v>33.223989103129668</v>
      </c>
      <c r="AA61" s="40"/>
    </row>
    <row r="62" spans="1:28" s="26" customFormat="1" x14ac:dyDescent="0.25">
      <c r="A62" s="26">
        <v>10</v>
      </c>
      <c r="B62" s="27">
        <f t="shared" si="86"/>
        <v>25.133328058327589</v>
      </c>
      <c r="C62" s="26">
        <f t="shared" si="87"/>
        <v>16.59653325952231</v>
      </c>
      <c r="D62" s="26">
        <f t="shared" si="88"/>
        <v>37.871729105334907</v>
      </c>
      <c r="E62" s="26">
        <f t="shared" si="90"/>
        <v>1</v>
      </c>
      <c r="F62" s="26">
        <f t="shared" si="91"/>
        <v>1.4002500000000004</v>
      </c>
      <c r="G62" s="29">
        <f>10^((Sheet5!$C$3*LOG10($A62)+Sheet5!$C$2-Sheet5!$E$2)/Sheet5!$E$3)</f>
        <v>24.742070825844035</v>
      </c>
      <c r="H62" s="29" cm="1">
        <f t="array" ref="H62">SUM(ABS(IFERROR(LOG10(I62:Z62)-LOG10(G62),0)))</f>
        <v>3.2036932772416256</v>
      </c>
      <c r="I62" s="36">
        <f t="shared" si="92"/>
        <v>22.018303651180354</v>
      </c>
      <c r="J62" s="36">
        <f t="shared" ref="J62:J64" si="108">10^(1.55-0.55*LOG10($A62))</f>
        <v>10</v>
      </c>
      <c r="K62" s="36">
        <f t="shared" si="93"/>
        <v>42.43271879259536</v>
      </c>
      <c r="L62" s="36">
        <f t="shared" si="94"/>
        <v>31.622776601683803</v>
      </c>
      <c r="M62" s="36">
        <f t="shared" si="95"/>
        <v>22.150465190852177</v>
      </c>
      <c r="N62" s="36">
        <f t="shared" si="89"/>
        <v>23.604782331805794</v>
      </c>
      <c r="O62">
        <f t="shared" si="96"/>
        <v>26.717757271179487</v>
      </c>
      <c r="P62">
        <f t="shared" si="97"/>
        <v>7.7588972391987472</v>
      </c>
      <c r="Q62">
        <f t="shared" si="98"/>
        <v>25.133328058327589</v>
      </c>
      <c r="R62" s="36">
        <f t="shared" si="99"/>
        <v>21.521551845277791</v>
      </c>
      <c r="S62" s="36">
        <f t="shared" si="100"/>
        <v>130.32091689645884</v>
      </c>
      <c r="T62" s="39">
        <f t="shared" si="101"/>
        <v>20.417379446695293</v>
      </c>
      <c r="U62" s="26">
        <f t="shared" si="102"/>
        <v>33.884415613920268</v>
      </c>
      <c r="V62" s="26">
        <f t="shared" si="103"/>
        <v>10.865263978762831</v>
      </c>
      <c r="W62" s="26">
        <f t="shared" si="104"/>
        <v>34.831069313827932</v>
      </c>
      <c r="X62" s="35"/>
      <c r="Y62" s="36">
        <f t="shared" si="106"/>
        <v>25.703957827688658</v>
      </c>
      <c r="Z62" s="36">
        <f t="shared" si="107"/>
        <v>47.345434164029122</v>
      </c>
      <c r="AA62" s="40"/>
    </row>
    <row r="63" spans="1:28" s="26" customFormat="1" x14ac:dyDescent="0.25">
      <c r="A63" s="26">
        <v>5</v>
      </c>
      <c r="B63" s="27">
        <f t="shared" si="86"/>
        <v>54.541539075805005</v>
      </c>
      <c r="C63" s="26">
        <f t="shared" si="87"/>
        <v>33.724696531471821</v>
      </c>
      <c r="D63" s="26">
        <f t="shared" si="88"/>
        <v>76.155532861199063</v>
      </c>
      <c r="E63" s="26">
        <f t="shared" si="90"/>
        <v>0.69897000433601886</v>
      </c>
      <c r="F63" s="26">
        <f t="shared" si="91"/>
        <v>1.736727388880611</v>
      </c>
      <c r="G63" s="29">
        <f>10^((Sheet5!$C$3*LOG10($A63)+Sheet5!$C$2-Sheet5!$E$2)/Sheet5!$E$3)</f>
        <v>54.308721364190767</v>
      </c>
      <c r="H63" s="29" cm="1">
        <f t="array" ref="H63">SUM(ABS(IFERROR(LOG10(I63:Z63)-LOG10(G63),0)))</f>
        <v>3.309356655717786</v>
      </c>
      <c r="I63" s="36">
        <f t="shared" si="92"/>
        <v>53.099685790130664</v>
      </c>
      <c r="J63" s="36">
        <f t="shared" si="108"/>
        <v>14.640856959456258</v>
      </c>
      <c r="K63" s="36">
        <f t="shared" si="93"/>
        <v>214.78361242459528</v>
      </c>
      <c r="L63" s="36">
        <f t="shared" si="94"/>
        <v>79.500506255664988</v>
      </c>
      <c r="M63" s="36">
        <f t="shared" si="95"/>
        <v>48.14336548813796</v>
      </c>
      <c r="N63" s="36">
        <f t="shared" si="89"/>
        <v>49.385214608765622</v>
      </c>
      <c r="O63">
        <f t="shared" si="96"/>
        <v>55.983392361479353</v>
      </c>
      <c r="P63">
        <f t="shared" si="97"/>
        <v>13.371149746534984</v>
      </c>
      <c r="Q63">
        <f t="shared" si="98"/>
        <v>62.540975400687252</v>
      </c>
      <c r="R63" s="36">
        <f t="shared" si="99"/>
        <v>47.759313838091273</v>
      </c>
      <c r="S63" s="36">
        <f t="shared" si="100"/>
        <v>173.46545898041941</v>
      </c>
      <c r="T63" s="39">
        <f t="shared" si="101"/>
        <v>39.443777098012873</v>
      </c>
      <c r="U63" s="26">
        <f t="shared" si="102"/>
        <v>71.138072769500141</v>
      </c>
      <c r="V63" s="26">
        <f t="shared" si="103"/>
        <v>29.911976153777776</v>
      </c>
      <c r="X63" s="35"/>
      <c r="Y63" s="36">
        <f t="shared" si="106"/>
        <v>57.04065383384529</v>
      </c>
      <c r="Z63" s="36">
        <f t="shared" si="107"/>
        <v>67.469024541946411</v>
      </c>
      <c r="AA63" s="40"/>
    </row>
    <row r="64" spans="1:28" s="26" customFormat="1" x14ac:dyDescent="0.25">
      <c r="A64" s="26">
        <v>2</v>
      </c>
      <c r="B64" s="27">
        <f t="shared" si="86"/>
        <v>135.66873365403899</v>
      </c>
      <c r="C64" s="26">
        <f t="shared" si="87"/>
        <v>94.193623540147698</v>
      </c>
      <c r="D64" s="26">
        <f t="shared" si="88"/>
        <v>189.62600898150995</v>
      </c>
      <c r="E64" s="26">
        <f t="shared" si="90"/>
        <v>0.3010299956639812</v>
      </c>
      <c r="F64" s="26">
        <f t="shared" si="91"/>
        <v>2.1324797712699675</v>
      </c>
      <c r="G64" s="29">
        <f>10^((Sheet5!$C$3*LOG10($A64)+Sheet5!$C$2-Sheet5!$E$2)/Sheet5!$E$3)</f>
        <v>153.53951226671427</v>
      </c>
      <c r="H64" s="29" cm="1">
        <f t="array" ref="H64">SUM(ABS(IFERROR(LOG10(I64:Z64)-LOG10(G64),0)))</f>
        <v>2.7480609861846275</v>
      </c>
      <c r="I64" s="36">
        <f t="shared" si="92"/>
        <v>169.97000000000003</v>
      </c>
      <c r="J64" s="36">
        <f t="shared" si="108"/>
        <v>24.234468666426551</v>
      </c>
      <c r="K64" s="36"/>
      <c r="L64" s="36"/>
      <c r="M64" s="36">
        <f t="shared" si="95"/>
        <v>134.34739699123179</v>
      </c>
      <c r="N64" s="36">
        <f t="shared" si="89"/>
        <v>131.0397496245202</v>
      </c>
      <c r="O64">
        <f t="shared" si="96"/>
        <v>148.847240848464</v>
      </c>
      <c r="P64">
        <f t="shared" si="97"/>
        <v>27.455619497724822</v>
      </c>
      <c r="Q64">
        <f t="shared" si="98"/>
        <v>208.70619948698558</v>
      </c>
      <c r="R64" s="36">
        <f t="shared" si="99"/>
        <v>136.99007031684621</v>
      </c>
      <c r="S64" s="36">
        <f t="shared" si="100"/>
        <v>253.15995043434359</v>
      </c>
      <c r="T64" s="39">
        <f t="shared" si="101"/>
        <v>94.193623540147698</v>
      </c>
      <c r="U64" s="26">
        <f t="shared" si="102"/>
        <v>189.62600898150995</v>
      </c>
      <c r="V64" s="26">
        <f t="shared" si="103"/>
        <v>114.08681569234395</v>
      </c>
      <c r="X64" s="35"/>
      <c r="Y64" s="36">
        <f t="shared" si="106"/>
        <v>163.61213241269724</v>
      </c>
      <c r="Z64" s="36">
        <f t="shared" si="107"/>
        <v>107.7585591252803</v>
      </c>
      <c r="AA64" s="40"/>
    </row>
    <row r="65" spans="1:27" s="26" customFormat="1" x14ac:dyDescent="0.25">
      <c r="A65" s="26">
        <v>1</v>
      </c>
      <c r="B65" s="27">
        <f t="shared" si="86"/>
        <v>307.94447920469702</v>
      </c>
      <c r="C65" s="26">
        <f t="shared" si="87"/>
        <v>170.60605151659902</v>
      </c>
      <c r="D65" s="26">
        <f t="shared" si="88"/>
        <v>377.08970108345994</v>
      </c>
      <c r="E65" s="26">
        <f t="shared" si="90"/>
        <v>0</v>
      </c>
      <c r="F65" s="26">
        <f t="shared" si="91"/>
        <v>2.4884724225115855</v>
      </c>
      <c r="G65" s="29">
        <f>10^((Sheet5!$C$3*LOG10($A65)+Sheet5!$C$2-Sheet5!$E$2)/Sheet5!$E$3)</f>
        <v>337.01845931896696</v>
      </c>
      <c r="H65" s="29" cm="1">
        <f t="array" ref="H65">SUM(ABS(IFERROR(LOG10(I65:Z65)-LOG10(G65),0)))</f>
        <v>2.0034795013311055</v>
      </c>
      <c r="I65" s="36">
        <f t="shared" si="92"/>
        <v>299.99</v>
      </c>
      <c r="J65" s="36"/>
      <c r="K65" s="36"/>
      <c r="L65" s="36"/>
      <c r="M65" s="36"/>
      <c r="N65" s="36">
        <f t="shared" si="89"/>
        <v>274.15741719278856</v>
      </c>
      <c r="O65">
        <f t="shared" si="96"/>
        <v>311.88895840939409</v>
      </c>
      <c r="P65">
        <f t="shared" si="97"/>
        <v>47.315125896148068</v>
      </c>
      <c r="Q65">
        <f t="shared" si="98"/>
        <v>519.33787908210024</v>
      </c>
      <c r="R65" s="36">
        <f t="shared" si="99"/>
        <v>304</v>
      </c>
      <c r="S65" s="36">
        <f t="shared" si="100"/>
        <v>336.97205363007134</v>
      </c>
      <c r="T65" s="39">
        <f t="shared" si="101"/>
        <v>181.9700858609983</v>
      </c>
      <c r="U65" s="26">
        <f t="shared" si="102"/>
        <v>398.10717055349761</v>
      </c>
      <c r="V65" s="26">
        <f t="shared" si="103"/>
        <v>314.08</v>
      </c>
      <c r="X65" s="35"/>
      <c r="Y65" s="36">
        <f t="shared" si="106"/>
        <v>363.07805477010152</v>
      </c>
      <c r="Z65" s="36">
        <f t="shared" si="107"/>
        <v>153.56000000000009</v>
      </c>
      <c r="AA65" s="40"/>
    </row>
    <row r="66" spans="1:27" s="28" customFormat="1" ht="15.75" thickBot="1" x14ac:dyDescent="0.3">
      <c r="B66" s="32"/>
      <c r="F66" s="28">
        <f>CORREL(F59:F65,E59:E65)</f>
        <v>-0.99964231633056166</v>
      </c>
      <c r="G66" s="30"/>
      <c r="H66" s="30"/>
      <c r="AA66" s="40" t="e">
        <f t="shared" ref="AA66" si="109">10^(3.93-1.47*LOG10($A66))</f>
        <v>#NUM!</v>
      </c>
    </row>
    <row r="67" spans="1:27" s="26" customFormat="1" x14ac:dyDescent="0.25">
      <c r="E67" s="26">
        <f>INTERCEPT(F69:F79,E69:E79)</f>
        <v>1.6900863794528858</v>
      </c>
      <c r="F67" s="26">
        <f>SLOPE(F69:F79,E69:E79)</f>
        <v>-0.66330512535409902</v>
      </c>
      <c r="G67" s="29" t="s">
        <v>139</v>
      </c>
      <c r="H67" s="29">
        <f>SUM(H69:H79)/11</f>
        <v>2.3647080552796087</v>
      </c>
      <c r="I67" s="62" t="s">
        <v>198</v>
      </c>
      <c r="J67" s="64" t="s">
        <v>230</v>
      </c>
      <c r="K67" s="72" t="s">
        <v>347</v>
      </c>
      <c r="L67" s="66" t="s">
        <v>350</v>
      </c>
      <c r="M67" s="54" t="s">
        <v>355</v>
      </c>
      <c r="N67" s="59" t="s">
        <v>371</v>
      </c>
      <c r="T67"/>
    </row>
    <row r="68" spans="1:27" s="26" customFormat="1" x14ac:dyDescent="0.25">
      <c r="A68" s="26" t="s">
        <v>183</v>
      </c>
      <c r="B68" s="26" t="s">
        <v>188</v>
      </c>
      <c r="E68" s="26" t="s">
        <v>137</v>
      </c>
      <c r="F68" s="26" t="s">
        <v>138</v>
      </c>
      <c r="G68" s="29" t="s">
        <v>361</v>
      </c>
      <c r="H68" s="29" t="s">
        <v>360</v>
      </c>
      <c r="I68" s="36" t="s">
        <v>112</v>
      </c>
      <c r="J68" s="36" t="s">
        <v>112</v>
      </c>
      <c r="K68" s="50" t="s">
        <v>348</v>
      </c>
      <c r="L68" s="26" t="s">
        <v>112</v>
      </c>
      <c r="N68" s="37" t="s">
        <v>377</v>
      </c>
      <c r="T68"/>
    </row>
    <row r="69" spans="1:27" s="26" customFormat="1" x14ac:dyDescent="0.25">
      <c r="A69" s="26">
        <v>100</v>
      </c>
      <c r="B69" s="27">
        <f>MEDIAN(I69:Z69)</f>
        <v>1.8987782820219874</v>
      </c>
      <c r="C69" s="26">
        <f>_xlfn.PERCENTILE.EXC(I69:Z69,0.2)</f>
        <v>5.3111996942440481E-2</v>
      </c>
      <c r="D69" s="26">
        <f>_xlfn.PERCENTILE.EXC(I69:Z69,0.8)</f>
        <v>4.5071291210910918</v>
      </c>
      <c r="E69" s="26">
        <f>LOG10(A69)</f>
        <v>2</v>
      </c>
      <c r="F69" s="26">
        <f>LOG10(B69)</f>
        <v>0.27847425567116457</v>
      </c>
      <c r="G69" s="29">
        <f>10^((Sheet5!$C$3*LOG10($A69)+Sheet5!$C$2-Sheet5!$F$2)/Sheet5!$F$3)</f>
        <v>1.1619697792800698</v>
      </c>
      <c r="H69" s="29" cm="1">
        <f t="array" ref="H69">SUM(ABS(IFERROR(LOG10(I69:Z69)-LOG10(G69),0)))</f>
        <v>2.3432330499838665</v>
      </c>
      <c r="I69" s="36">
        <f>10^(2.76-1.28*LOG10($A69))</f>
        <v>1.5848931924611125</v>
      </c>
      <c r="J69" s="36">
        <f>122.72*$A69^-0.872</f>
        <v>2.2126633715828623</v>
      </c>
      <c r="K69" s="50">
        <f>25.421*$A69^-1.34</f>
        <v>5.3111996942440481E-2</v>
      </c>
      <c r="L69">
        <f>10^(1.6517-0.4989*LOG10($A69))</f>
        <v>4.5071291210910918</v>
      </c>
      <c r="T69"/>
    </row>
    <row r="70" spans="1:27" s="26" customFormat="1" x14ac:dyDescent="0.25">
      <c r="A70" s="26">
        <v>50</v>
      </c>
      <c r="B70" s="27">
        <f t="shared" ref="B70:B79" si="110">MEDIAN(I70:Z70)</f>
        <v>3.9491756172814334</v>
      </c>
      <c r="C70" s="26">
        <f t="shared" ref="C70:C79" si="111">_xlfn.PERCENTILE.EXC(I70:Z70,0.2)</f>
        <v>0.13445372069764694</v>
      </c>
      <c r="D70" s="26">
        <f t="shared" ref="D70:D79" si="112">_xlfn.PERCENTILE.EXC(I70:Z70,0.8)</f>
        <v>6.3691850176849565</v>
      </c>
      <c r="E70" s="26">
        <f t="shared" ref="E70:E79" si="113">LOG10(A70)</f>
        <v>1.6989700043360187</v>
      </c>
      <c r="F70" s="26">
        <f t="shared" ref="F70:F79" si="114">LOG10(B70)</f>
        <v>0.59650644696024591</v>
      </c>
      <c r="G70" s="29">
        <f>10^((Sheet5!$C$3*LOG10($A70)+Sheet5!$C$2-Sheet5!$F$2)/Sheet5!$F$3)</f>
        <v>2.2917162268928633</v>
      </c>
      <c r="H70" s="29" cm="1">
        <f t="array" ref="H70">SUM(ABS(IFERROR(LOG10(I70:Z70)-LOG10(G70),0)))</f>
        <v>2.147921257572734</v>
      </c>
      <c r="I70" s="36">
        <f t="shared" ref="I70:I73" si="115">10^(2.76-1.28*LOG10($A70))</f>
        <v>3.8487384131976365</v>
      </c>
      <c r="J70" s="36">
        <f t="shared" ref="J70:J79" si="116">122.72*$A70^-0.872</f>
        <v>4.0496128213652298</v>
      </c>
      <c r="K70" s="50">
        <f t="shared" ref="K70:K79" si="117">25.421*$A70^-1.34</f>
        <v>0.13445372069764694</v>
      </c>
      <c r="L70">
        <f t="shared" ref="L70:L79" si="118">10^(1.6517-0.4989*LOG10($A70))</f>
        <v>6.3691850176849565</v>
      </c>
      <c r="T70"/>
    </row>
    <row r="71" spans="1:27" s="26" customFormat="1" x14ac:dyDescent="0.25">
      <c r="A71" s="26">
        <v>20</v>
      </c>
      <c r="B71" s="27">
        <f t="shared" si="110"/>
        <v>9.0036206877964435</v>
      </c>
      <c r="C71" s="26">
        <f t="shared" si="111"/>
        <v>0.62253194047281157</v>
      </c>
      <c r="D71" s="26">
        <f t="shared" si="112"/>
        <v>11.960904545704322</v>
      </c>
      <c r="E71" s="26">
        <f t="shared" si="113"/>
        <v>1.3010299956639813</v>
      </c>
      <c r="F71" s="26">
        <f t="shared" si="114"/>
        <v>0.9544171903859141</v>
      </c>
      <c r="G71" s="29">
        <f>10^((Sheet5!$C$3*LOG10($A71)+Sheet5!$C$2-Sheet5!$F$2)/Sheet5!$F$3)</f>
        <v>5.6245099754496888</v>
      </c>
      <c r="H71" s="29" cm="1">
        <f t="array" ref="H71">SUM(ABS(IFERROR(LOG10(I71:Z71)-LOG10(G71),0)))</f>
        <v>2.5337422949272357</v>
      </c>
      <c r="I71" s="36">
        <f t="shared" si="115"/>
        <v>12.436025547524265</v>
      </c>
      <c r="J71" s="36">
        <f t="shared" si="116"/>
        <v>9.0036206877964435</v>
      </c>
      <c r="K71" s="50">
        <f t="shared" si="117"/>
        <v>0.45899973674056049</v>
      </c>
      <c r="L71">
        <f t="shared" si="118"/>
        <v>10.060420538424539</v>
      </c>
      <c r="M71" s="26">
        <f t="shared" ref="M71:M79" si="119">4.941*LOG(292/$A71^1.12)-3.705</f>
        <v>1.2766607554018155</v>
      </c>
      <c r="T71"/>
    </row>
    <row r="72" spans="1:27" s="26" customFormat="1" x14ac:dyDescent="0.25">
      <c r="A72" s="26">
        <v>10</v>
      </c>
      <c r="B72" s="27">
        <f t="shared" si="110"/>
        <v>14.216739313080042</v>
      </c>
      <c r="C72" s="26">
        <f t="shared" si="111"/>
        <v>1.5180784432573056</v>
      </c>
      <c r="D72" s="26">
        <f t="shared" si="112"/>
        <v>27.455296083832902</v>
      </c>
      <c r="E72" s="26">
        <f t="shared" si="113"/>
        <v>1</v>
      </c>
      <c r="F72" s="26">
        <f t="shared" si="114"/>
        <v>1.1528000000000003</v>
      </c>
      <c r="G72" s="29">
        <f>10^((Sheet5!$C$3*LOG10($A72)+Sheet5!$C$2-Sheet5!$F$2)/Sheet5!$F$3)</f>
        <v>11.093043045443954</v>
      </c>
      <c r="H72" s="29" cm="1">
        <f t="array" ref="H72">SUM(ABS(IFERROR(LOG10(I72:Z72)-LOG10(G72),0)))</f>
        <v>2.270750134142685</v>
      </c>
      <c r="I72" s="36">
        <f t="shared" si="115"/>
        <v>30.19951720402015</v>
      </c>
      <c r="J72" s="36">
        <f t="shared" si="116"/>
        <v>16.478411603083863</v>
      </c>
      <c r="K72" s="50">
        <f t="shared" si="117"/>
        <v>1.1619638868199731</v>
      </c>
      <c r="L72">
        <f t="shared" si="118"/>
        <v>14.216739313080042</v>
      </c>
      <c r="M72" s="26">
        <f t="shared" si="119"/>
        <v>2.9425366690066337</v>
      </c>
      <c r="T72"/>
    </row>
    <row r="73" spans="1:27" s="26" customFormat="1" x14ac:dyDescent="0.25">
      <c r="A73" s="26">
        <v>5</v>
      </c>
      <c r="B73" s="27">
        <f t="shared" si="110"/>
        <v>20.090181710010977</v>
      </c>
      <c r="C73" s="26">
        <f t="shared" si="111"/>
        <v>3.2749040392386397</v>
      </c>
      <c r="D73" s="26">
        <f t="shared" si="112"/>
        <v>64.700711180535052</v>
      </c>
      <c r="E73" s="26">
        <f t="shared" si="113"/>
        <v>0.69897000433601886</v>
      </c>
      <c r="F73" s="26">
        <f t="shared" si="114"/>
        <v>1.3029838648367602</v>
      </c>
      <c r="G73" s="29">
        <f>10^((Sheet5!$C$3*LOG10($A73)+Sheet5!$C$2-Sheet5!$F$2)/Sheet5!$F$3)</f>
        <v>21.878457775912128</v>
      </c>
      <c r="H73" s="29" cm="1">
        <f t="array" ref="H73">SUM(ABS(IFERROR(LOG10(I73:Z73)-LOG10(G73),0)))</f>
        <v>2.2496405589686486</v>
      </c>
      <c r="I73" s="36">
        <f t="shared" si="115"/>
        <v>73.336198600642959</v>
      </c>
      <c r="J73" s="36">
        <f t="shared" si="116"/>
        <v>30.158761500103303</v>
      </c>
      <c r="K73" s="50">
        <f t="shared" si="117"/>
        <v>2.9415269033954363</v>
      </c>
      <c r="L73">
        <f t="shared" si="118"/>
        <v>20.090181710010977</v>
      </c>
      <c r="M73" s="26">
        <f t="shared" si="119"/>
        <v>4.6084125826114519</v>
      </c>
      <c r="T73"/>
    </row>
    <row r="74" spans="1:27" s="26" customFormat="1" x14ac:dyDescent="0.25">
      <c r="A74" s="26">
        <v>2</v>
      </c>
      <c r="B74" s="27">
        <f t="shared" si="110"/>
        <v>20.887592843752749</v>
      </c>
      <c r="C74" s="26">
        <f t="shared" si="111"/>
        <v>6.8105807554018156</v>
      </c>
      <c r="D74" s="26">
        <f t="shared" si="112"/>
        <v>67.052842071234451</v>
      </c>
      <c r="E74" s="26">
        <f t="shared" si="113"/>
        <v>0.3010299956639812</v>
      </c>
      <c r="F74" s="26">
        <f t="shared" si="114"/>
        <v>1.3198883933114962</v>
      </c>
      <c r="G74" s="29">
        <f>10^((Sheet5!$C$3*LOG10($A74)+Sheet5!$C$2-Sheet5!$F$2)/Sheet5!$F$3)</f>
        <v>53.695829598812466</v>
      </c>
      <c r="H74" s="29" cm="1">
        <f t="array" ref="H74">SUM(ABS(IFERROR(LOG10(I74:Z74)-LOG10(G74),0)))</f>
        <v>1.9497855851005441</v>
      </c>
      <c r="I74" s="36"/>
      <c r="J74" s="36">
        <f t="shared" si="116"/>
        <v>67.052842071234451</v>
      </c>
      <c r="K74" s="50">
        <f t="shared" si="117"/>
        <v>10.041820094439455</v>
      </c>
      <c r="L74">
        <f t="shared" si="118"/>
        <v>31.733365593066043</v>
      </c>
      <c r="M74" s="26">
        <f t="shared" si="119"/>
        <v>6.8105807554018156</v>
      </c>
      <c r="T74"/>
    </row>
    <row r="75" spans="1:27" s="26" customFormat="1" x14ac:dyDescent="0.25">
      <c r="A75" s="26">
        <v>1</v>
      </c>
      <c r="B75" s="27">
        <f t="shared" si="110"/>
        <v>35.132275731948312</v>
      </c>
      <c r="C75" s="26">
        <f t="shared" si="111"/>
        <v>8.4764566690066356</v>
      </c>
      <c r="D75" s="26">
        <f t="shared" si="112"/>
        <v>122.72</v>
      </c>
      <c r="E75" s="26">
        <f t="shared" si="113"/>
        <v>0</v>
      </c>
      <c r="F75" s="26">
        <f t="shared" si="114"/>
        <v>1.5457062826077503</v>
      </c>
      <c r="G75" s="29">
        <f>10^((Sheet5!$C$3*LOG10($A75)+Sheet5!$C$2-Sheet5!$F$2)/Sheet5!$F$3)</f>
        <v>105.90258559419246</v>
      </c>
      <c r="H75" s="29" cm="1">
        <f t="array" ref="H75">SUM(ABS(IFERROR(LOG10(I75:Z75)-LOG10(G75),0)))</f>
        <v>2.1536214966186509</v>
      </c>
      <c r="I75" s="36"/>
      <c r="J75" s="36">
        <f t="shared" si="116"/>
        <v>122.72</v>
      </c>
      <c r="K75" s="50">
        <f t="shared" si="117"/>
        <v>25.420999999999999</v>
      </c>
      <c r="L75">
        <f t="shared" si="118"/>
        <v>44.843551463896617</v>
      </c>
      <c r="M75" s="26">
        <f t="shared" si="119"/>
        <v>8.4764566690066356</v>
      </c>
      <c r="T75"/>
    </row>
    <row r="76" spans="1:27" s="26" customFormat="1" x14ac:dyDescent="0.25">
      <c r="A76" s="26">
        <v>0.7</v>
      </c>
      <c r="B76" s="27">
        <f t="shared" si="110"/>
        <v>47.287568700433994</v>
      </c>
      <c r="C76" s="26">
        <f t="shared" si="111"/>
        <v>9.3336717234109372</v>
      </c>
      <c r="D76" s="26">
        <f t="shared" si="112"/>
        <v>167.49037530248933</v>
      </c>
      <c r="E76" s="26">
        <f t="shared" si="113"/>
        <v>-0.15490195998574319</v>
      </c>
      <c r="F76" s="26">
        <f t="shared" si="114"/>
        <v>1.6747469852539638</v>
      </c>
      <c r="G76" s="29">
        <f>10^((Sheet5!$C$3*LOG10($A76)+Sheet5!$C$2-Sheet5!$F$2)/Sheet5!$F$3)</f>
        <v>150.20630315690579</v>
      </c>
      <c r="H76" s="29" cm="1">
        <f t="array" ref="H76">SUM(ABS(IFERROR(LOG10(I76:Z76)-LOG10(G76),0)))</f>
        <v>2.2655718036926449</v>
      </c>
      <c r="I76" s="36"/>
      <c r="J76" s="36">
        <f t="shared" si="116"/>
        <v>167.49037530248933</v>
      </c>
      <c r="K76" s="50">
        <f t="shared" si="117"/>
        <v>40.997866508344046</v>
      </c>
      <c r="L76">
        <f t="shared" si="118"/>
        <v>53.577270892523934</v>
      </c>
      <c r="M76" s="26">
        <f t="shared" si="119"/>
        <v>9.3336717234109372</v>
      </c>
      <c r="T76"/>
    </row>
    <row r="77" spans="1:27" s="26" customFormat="1" x14ac:dyDescent="0.25">
      <c r="A77" s="26">
        <v>0.5</v>
      </c>
      <c r="B77" s="27">
        <f t="shared" ref="B77" si="120">MEDIAN(I77:Z77)</f>
        <v>63.861809881544445</v>
      </c>
      <c r="C77" s="26">
        <f t="shared" ref="C77" si="121">_xlfn.PERCENTILE.EXC(I77:Z77,0.2)</f>
        <v>10.142332582611454</v>
      </c>
      <c r="D77" s="26">
        <f t="shared" ref="D77" si="122">_xlfn.PERCENTILE.EXC(I77:Z77,0.8)</f>
        <v>224.60193982531874</v>
      </c>
      <c r="E77" s="26">
        <f t="shared" si="113"/>
        <v>-0.3010299956639812</v>
      </c>
      <c r="F77" s="26">
        <f t="shared" si="114"/>
        <v>1.8052412225408734</v>
      </c>
      <c r="G77" s="29">
        <f>10^((Sheet5!$C$3*LOG10($A77)+Sheet5!$C$2-Sheet5!$F$2)/Sheet5!$F$3)</f>
        <v>208.86831843982338</v>
      </c>
      <c r="H77" s="29" cm="1">
        <f t="array" ref="H77">SUM(ABS(IFERROR(LOG10(I77:Z77)-LOG10(G77),0)))</f>
        <v>2.3745641061912752</v>
      </c>
      <c r="I77" s="36"/>
      <c r="J77" s="36">
        <f t="shared" si="116"/>
        <v>224.60193982531874</v>
      </c>
      <c r="K77" s="50">
        <f t="shared" si="117"/>
        <v>64.353596750636967</v>
      </c>
      <c r="L77">
        <f t="shared" si="118"/>
        <v>63.370023012451924</v>
      </c>
      <c r="M77" s="26">
        <f t="shared" si="119"/>
        <v>10.142332582611454</v>
      </c>
      <c r="T77"/>
    </row>
    <row r="78" spans="1:27" s="26" customFormat="1" x14ac:dyDescent="0.25">
      <c r="A78" s="26">
        <v>0.2</v>
      </c>
      <c r="B78" s="27">
        <f t="shared" si="110"/>
        <v>159.8934754776509</v>
      </c>
      <c r="C78" s="26">
        <f t="shared" si="111"/>
        <v>12.344500755401816</v>
      </c>
      <c r="D78" s="26">
        <f t="shared" si="112"/>
        <v>499.36395431716966</v>
      </c>
      <c r="E78" s="26">
        <f t="shared" si="113"/>
        <v>-0.69897000433601875</v>
      </c>
      <c r="F78" s="26">
        <f t="shared" si="114"/>
        <v>2.2038307425338215</v>
      </c>
      <c r="G78" s="29">
        <f>10^((Sheet5!$C$3*LOG10($A78)+Sheet5!$C$2-Sheet5!$F$2)/Sheet5!$F$3)</f>
        <v>512.6210334570842</v>
      </c>
      <c r="H78" s="29" cm="1">
        <f t="array" ref="H78">SUM(ABS(IFERROR(LOG10(I78:Z78)-LOG10(G78),0)))</f>
        <v>2.707066394762947</v>
      </c>
      <c r="I78" s="36"/>
      <c r="J78" s="36">
        <f t="shared" si="116"/>
        <v>499.36395431716966</v>
      </c>
      <c r="K78" s="50">
        <f t="shared" si="117"/>
        <v>219.69108637220108</v>
      </c>
      <c r="L78">
        <f t="shared" si="118"/>
        <v>100.09586458310069</v>
      </c>
      <c r="M78" s="26">
        <f t="shared" si="119"/>
        <v>12.344500755401816</v>
      </c>
      <c r="T78"/>
    </row>
    <row r="79" spans="1:27" s="26" customFormat="1" x14ac:dyDescent="0.25">
      <c r="A79" s="26">
        <v>0.1</v>
      </c>
      <c r="B79" s="27">
        <f t="shared" si="110"/>
        <v>348.79996051327373</v>
      </c>
      <c r="C79" s="26">
        <f t="shared" si="111"/>
        <v>14.010376669006634</v>
      </c>
      <c r="D79" s="26">
        <f t="shared" si="112"/>
        <v>913.93507837742948</v>
      </c>
      <c r="E79" s="26">
        <f t="shared" si="113"/>
        <v>-1</v>
      </c>
      <c r="F79" s="26">
        <f t="shared" si="114"/>
        <v>2.542576427095196</v>
      </c>
      <c r="G79" s="29">
        <f>10^((Sheet5!$C$3*LOG10($A79)+Sheet5!$C$2-Sheet5!$F$2)/Sheet5!$F$3)</f>
        <v>1011.026243167923</v>
      </c>
      <c r="H79" s="29" cm="1">
        <f t="array" ref="H79">SUM(ABS(IFERROR(LOG10(I79:Z79)-LOG10(G79),0)))</f>
        <v>3.015891926114465</v>
      </c>
      <c r="I79" s="36"/>
      <c r="J79" s="36">
        <f t="shared" si="116"/>
        <v>913.93507837742948</v>
      </c>
      <c r="K79" s="50">
        <f t="shared" si="117"/>
        <v>556.15088242421575</v>
      </c>
      <c r="L79">
        <f t="shared" si="118"/>
        <v>141.44903860233168</v>
      </c>
      <c r="M79" s="26">
        <f t="shared" si="119"/>
        <v>14.010376669006634</v>
      </c>
      <c r="T79"/>
    </row>
    <row r="80" spans="1:27" s="28" customFormat="1" ht="15.75" thickBot="1" x14ac:dyDescent="0.3">
      <c r="B80" s="32"/>
      <c r="F80" s="28">
        <f>CORREL(F69:F79,E69:E79)</f>
        <v>-0.98212415283916654</v>
      </c>
      <c r="G80" s="30"/>
      <c r="H80" s="30"/>
    </row>
    <row r="81" spans="1:30" s="33" customFormat="1" x14ac:dyDescent="0.25">
      <c r="E81" s="26">
        <f>INTERCEPT(F83:F93,E83:E93)</f>
        <v>3.6602056232959534</v>
      </c>
      <c r="F81" s="26">
        <f>SLOPE(F83:F93,E83:E93)</f>
        <v>-1.0419978536774699</v>
      </c>
      <c r="G81" s="29" t="s">
        <v>139</v>
      </c>
      <c r="H81" s="29">
        <f>SUM(H83:H93)/11</f>
        <v>0.51424395440576587</v>
      </c>
      <c r="I81" s="61" t="s">
        <v>99</v>
      </c>
      <c r="J81" s="61" t="s">
        <v>101</v>
      </c>
      <c r="K81" s="61" t="s">
        <v>108</v>
      </c>
      <c r="L81" s="58" t="s">
        <v>109</v>
      </c>
    </row>
    <row r="82" spans="1:30" s="26" customFormat="1" x14ac:dyDescent="0.25">
      <c r="A82" s="26" t="s">
        <v>4</v>
      </c>
      <c r="B82" s="26" t="s">
        <v>107</v>
      </c>
      <c r="E82" s="26" t="s">
        <v>137</v>
      </c>
      <c r="F82" s="26" t="s">
        <v>138</v>
      </c>
      <c r="G82" s="29" t="s">
        <v>361</v>
      </c>
      <c r="H82" s="29" t="s">
        <v>360</v>
      </c>
      <c r="I82" s="26" t="s">
        <v>122</v>
      </c>
      <c r="J82" s="26" t="s">
        <v>122</v>
      </c>
      <c r="K82" s="26" t="s">
        <v>122</v>
      </c>
      <c r="L82" s="36" t="s">
        <v>122</v>
      </c>
    </row>
    <row r="83" spans="1:30" s="26" customFormat="1" x14ac:dyDescent="0.25">
      <c r="A83" s="26">
        <v>100</v>
      </c>
      <c r="B83" s="27">
        <f t="shared" ref="B83:B93" si="123">MEDIAN(I83:Y83)</f>
        <v>36.787142948241772</v>
      </c>
      <c r="C83" s="26" t="e">
        <f t="shared" ref="C83:C93" si="124">_xlfn.PERCENTILE.EXC(I83:Y83,0.2)</f>
        <v>#NUM!</v>
      </c>
      <c r="D83" s="26" t="e">
        <f t="shared" ref="D83:D93" si="125">_xlfn.PERCENTILE.EXC(I83:Y83,0.8)</f>
        <v>#NUM!</v>
      </c>
      <c r="E83" s="26">
        <f>LOG10(A83)</f>
        <v>2</v>
      </c>
      <c r="F83" s="26">
        <f>LOG10(B83)</f>
        <v>1.5656960599160703</v>
      </c>
      <c r="G83" s="29">
        <f>10^((LOG10($A83)-Sheet5!$I$2)/Sheet5!$I$3)</f>
        <v>40.993438062379212</v>
      </c>
      <c r="H83" s="29" cm="1">
        <f t="array" ref="H83">SUM(ABS(IFERROR(LOG10(I83:Z83)-LOG10(G83),0)))</f>
        <v>0.53462887593403585</v>
      </c>
      <c r="J83" s="26">
        <f>10^(3.56-0.807*LOG10($A83))</f>
        <v>88.307990041856272</v>
      </c>
      <c r="K83" s="26">
        <f>1000*4.349*$A83^-1.09</f>
        <v>28.733558053850334</v>
      </c>
      <c r="L83" s="36">
        <f>1000*7.34*$A83^-1.15</f>
        <v>36.787142948241772</v>
      </c>
    </row>
    <row r="84" spans="1:30" s="26" customFormat="1" x14ac:dyDescent="0.25">
      <c r="A84" s="26">
        <v>50</v>
      </c>
      <c r="B84" s="27">
        <f t="shared" si="123"/>
        <v>81.635781559929995</v>
      </c>
      <c r="C84" s="26" t="e">
        <f t="shared" si="124"/>
        <v>#NUM!</v>
      </c>
      <c r="D84" s="26" t="e">
        <f t="shared" si="125"/>
        <v>#NUM!</v>
      </c>
      <c r="E84" s="26">
        <f t="shared" ref="E84:E93" si="126">LOG10(A84)</f>
        <v>1.6989700043360187</v>
      </c>
      <c r="F84" s="26">
        <f t="shared" ref="F84:F93" si="127">LOG10(B84)</f>
        <v>1.9118805549296491</v>
      </c>
      <c r="G84" s="29">
        <f>10^((LOG10($A84)-Sheet5!$I$2)/Sheet5!$I$3)</f>
        <v>81.634050112493583</v>
      </c>
      <c r="H84" s="29" cm="1">
        <f t="array" ref="H84">SUM(ABS(IFERROR(LOG10(I84:Z84)-LOG10(G84),0)))</f>
        <v>0.40242831479275676</v>
      </c>
      <c r="J84" s="26">
        <f t="shared" ref="J84:J93" si="128">10^(3.56-0.807*LOG10($A84))</f>
        <v>154.50096861614182</v>
      </c>
      <c r="K84" s="26">
        <f t="shared" ref="K84:K93" si="129">1000*4.349*$A84^-1.09</f>
        <v>61.166284856621829</v>
      </c>
      <c r="L84" s="36">
        <f t="shared" ref="L84:L93" si="130">1000*7.34*$A84^-1.15</f>
        <v>81.635781559929995</v>
      </c>
    </row>
    <row r="85" spans="1:30" s="26" customFormat="1" x14ac:dyDescent="0.25">
      <c r="A85" s="26">
        <v>20</v>
      </c>
      <c r="B85" s="27">
        <f t="shared" si="123"/>
        <v>200.11001241275505</v>
      </c>
      <c r="C85" s="26">
        <f t="shared" si="124"/>
        <v>110.7325503727731</v>
      </c>
      <c r="D85" s="26">
        <f t="shared" si="125"/>
        <v>323.64491915860822</v>
      </c>
      <c r="E85" s="26">
        <f t="shared" si="126"/>
        <v>1.3010299956639813</v>
      </c>
      <c r="F85" s="26">
        <f t="shared" si="127"/>
        <v>2.3012688189052009</v>
      </c>
      <c r="G85" s="29">
        <f>10^((LOG10($A85)-Sheet5!$I$2)/Sheet5!$I$3)</f>
        <v>202.92492168104977</v>
      </c>
      <c r="H85" s="29" cm="1">
        <f t="array" ref="H85">SUM(ABS(IFERROR(LOG10(I85:Z85)-LOG10(G85),0)))</f>
        <v>0.61503834338484609</v>
      </c>
      <c r="I85" s="26">
        <f t="shared" ref="I85" si="131">1000*2.9*$A85^-1.09</f>
        <v>110.7325503727731</v>
      </c>
      <c r="J85" s="26">
        <f t="shared" si="128"/>
        <v>323.64491915860822</v>
      </c>
      <c r="K85" s="26">
        <f t="shared" si="129"/>
        <v>166.06064192110009</v>
      </c>
      <c r="L85" s="36">
        <f t="shared" si="130"/>
        <v>234.15938290441005</v>
      </c>
    </row>
    <row r="86" spans="1:30" s="26" customFormat="1" x14ac:dyDescent="0.25">
      <c r="A86" s="26">
        <v>10</v>
      </c>
      <c r="B86" s="27">
        <f t="shared" si="123"/>
        <v>436.56609860886192</v>
      </c>
      <c r="C86" s="26">
        <f t="shared" si="124"/>
        <v>235.72084968758872</v>
      </c>
      <c r="D86" s="26">
        <f t="shared" si="125"/>
        <v>566.23928903825367</v>
      </c>
      <c r="E86" s="26">
        <f t="shared" si="126"/>
        <v>1</v>
      </c>
      <c r="F86" s="26">
        <f t="shared" si="127"/>
        <v>2.6400500076929845</v>
      </c>
      <c r="G86" s="29">
        <f>10^((LOG10($A86)-Sheet5!$I$2)/Sheet5!$I$3)</f>
        <v>404.10329088223881</v>
      </c>
      <c r="H86" s="29" cm="1">
        <f t="array" ref="H86">SUM(ABS(IFERROR(LOG10(I86:Z86)-LOG10(G86),0)))</f>
        <v>0.54790865435177905</v>
      </c>
      <c r="I86" s="26">
        <f>1000*2.9*$A86^-1.09</f>
        <v>235.72084968758872</v>
      </c>
      <c r="J86" s="26">
        <f t="shared" si="128"/>
        <v>566.23928903825367</v>
      </c>
      <c r="K86" s="26">
        <f t="shared" si="129"/>
        <v>353.49999147976666</v>
      </c>
      <c r="L86" s="36">
        <f t="shared" si="130"/>
        <v>519.63220573795718</v>
      </c>
    </row>
    <row r="87" spans="1:30" s="26" customFormat="1" x14ac:dyDescent="0.25">
      <c r="A87" s="26">
        <v>5</v>
      </c>
      <c r="B87" s="27">
        <f t="shared" si="123"/>
        <v>871.59235377034906</v>
      </c>
      <c r="C87" s="26">
        <f t="shared" si="124"/>
        <v>501.78848758007985</v>
      </c>
      <c r="D87" s="26">
        <f t="shared" si="125"/>
        <v>1153.1360643802302</v>
      </c>
      <c r="E87" s="26">
        <f t="shared" si="126"/>
        <v>0.69897000433601886</v>
      </c>
      <c r="F87" s="26">
        <f t="shared" si="127"/>
        <v>2.9403134116500436</v>
      </c>
      <c r="G87" s="29">
        <f>10^((LOG10($A87)-Sheet5!$I$2)/Sheet5!$I$3)</f>
        <v>804.72850918983409</v>
      </c>
      <c r="H87" s="29" cm="1">
        <f t="array" ref="H87">SUM(ABS(IFERROR(LOG10(I87:Z87)-LOG10(G87),0)))</f>
        <v>0.48077896531871112</v>
      </c>
      <c r="I87" s="26">
        <f t="shared" ref="I87:I88" si="132">1000*2.9*$A87^-1.09</f>
        <v>501.78848758007985</v>
      </c>
      <c r="J87" s="26">
        <f t="shared" si="128"/>
        <v>990.67500668353716</v>
      </c>
      <c r="K87" s="26">
        <f t="shared" si="129"/>
        <v>752.50970085716108</v>
      </c>
      <c r="L87" s="36">
        <f t="shared" si="130"/>
        <v>1153.1360643802302</v>
      </c>
    </row>
    <row r="88" spans="1:30" s="26" customFormat="1" x14ac:dyDescent="0.25">
      <c r="A88" s="26">
        <v>2</v>
      </c>
      <c r="B88" s="27">
        <f t="shared" si="123"/>
        <v>2059.1172169710844</v>
      </c>
      <c r="C88" s="26">
        <f t="shared" si="124"/>
        <v>1362.307986360317</v>
      </c>
      <c r="D88" s="26">
        <f t="shared" si="125"/>
        <v>3307.5891977817478</v>
      </c>
      <c r="E88" s="26">
        <f t="shared" si="126"/>
        <v>0.3010299956639812</v>
      </c>
      <c r="F88" s="26">
        <f t="shared" si="127"/>
        <v>3.3136810698986272</v>
      </c>
      <c r="G88" s="29">
        <f>10^((LOG10($A88)-Sheet5!$I$2)/Sheet5!$I$3)</f>
        <v>2000.3842695152914</v>
      </c>
      <c r="H88" s="29" cm="1">
        <f t="array" ref="H88">SUM(ABS(IFERROR(LOG10(I88:Z88)-LOG10(G88),0)))</f>
        <v>0.41034490674028179</v>
      </c>
      <c r="I88" s="26">
        <f t="shared" si="132"/>
        <v>1362.307986360317</v>
      </c>
      <c r="J88" s="26">
        <f t="shared" si="128"/>
        <v>2075.2422157762999</v>
      </c>
      <c r="K88" s="26">
        <f t="shared" si="129"/>
        <v>2042.9922181658685</v>
      </c>
      <c r="L88" s="36">
        <f t="shared" si="130"/>
        <v>3307.5891977817478</v>
      </c>
    </row>
    <row r="89" spans="1:30" s="26" customFormat="1" x14ac:dyDescent="0.25">
      <c r="A89" s="26">
        <v>1</v>
      </c>
      <c r="B89" s="27">
        <f t="shared" si="123"/>
        <v>4349</v>
      </c>
      <c r="C89" s="26" t="e">
        <f t="shared" si="124"/>
        <v>#NUM!</v>
      </c>
      <c r="D89" s="26" t="e">
        <f t="shared" si="125"/>
        <v>#NUM!</v>
      </c>
      <c r="E89" s="26">
        <f t="shared" si="126"/>
        <v>0</v>
      </c>
      <c r="F89" s="26">
        <f t="shared" si="127"/>
        <v>3.6383894076653358</v>
      </c>
      <c r="G89" s="29">
        <f>10^((LOG10($A89)-Sheet5!$I$2)/Sheet5!$I$3)</f>
        <v>3983.5514516582962</v>
      </c>
      <c r="H89" s="29" cm="1">
        <f t="array" ref="H89">SUM(ABS(IFERROR(LOG10(I89:Z89)-LOG10(G89),0)))</f>
        <v>0.34381503668431934</v>
      </c>
      <c r="J89" s="26">
        <f t="shared" si="128"/>
        <v>3630.7805477010188</v>
      </c>
      <c r="K89" s="26">
        <f t="shared" si="129"/>
        <v>4349</v>
      </c>
      <c r="L89" s="36">
        <f t="shared" si="130"/>
        <v>7340</v>
      </c>
    </row>
    <row r="90" spans="1:30" s="26" customFormat="1" x14ac:dyDescent="0.25">
      <c r="A90" s="26">
        <v>0.7</v>
      </c>
      <c r="B90" s="27">
        <f t="shared" ref="B90" si="133">MEDIAN(I90:Y90)</f>
        <v>6415.5300576873433</v>
      </c>
      <c r="C90" s="26" t="e">
        <f t="shared" ref="C90" si="134">_xlfn.PERCENTILE.EXC(I90:Y90,0.2)</f>
        <v>#NUM!</v>
      </c>
      <c r="D90" s="26" t="e">
        <f t="shared" ref="D90" si="135">_xlfn.PERCENTILE.EXC(I90:Y90,0.8)</f>
        <v>#NUM!</v>
      </c>
      <c r="E90" s="26">
        <f t="shared" si="126"/>
        <v>-0.15490195998574319</v>
      </c>
      <c r="F90" s="26">
        <f t="shared" si="127"/>
        <v>3.8072325440497963</v>
      </c>
      <c r="G90" s="29">
        <f>10^((LOG10($A90)-Sheet5!$I$2)/Sheet5!$I$3)</f>
        <v>5678.1727042141638</v>
      </c>
      <c r="H90" s="29" cm="1">
        <f t="array" ref="H90">SUM(ABS(IFERROR(LOG10(I90:Z90)-LOG10(G90),0)))</f>
        <v>0.41185137858538345</v>
      </c>
      <c r="J90" s="26">
        <f t="shared" si="128"/>
        <v>4841.7892483990227</v>
      </c>
      <c r="K90" s="26">
        <f t="shared" si="129"/>
        <v>6415.5300576873433</v>
      </c>
      <c r="L90" s="36">
        <f t="shared" si="130"/>
        <v>11061.991333849854</v>
      </c>
    </row>
    <row r="91" spans="1:30" s="26" customFormat="1" x14ac:dyDescent="0.25">
      <c r="A91" s="26">
        <v>0.5</v>
      </c>
      <c r="B91" s="27">
        <f t="shared" si="123"/>
        <v>9257.8918469793261</v>
      </c>
      <c r="C91" s="26" t="e">
        <f t="shared" si="124"/>
        <v>#NUM!</v>
      </c>
      <c r="D91" s="26" t="e">
        <f t="shared" si="125"/>
        <v>#NUM!</v>
      </c>
      <c r="E91" s="26">
        <f t="shared" si="126"/>
        <v>-0.3010299956639812</v>
      </c>
      <c r="F91" s="26">
        <f t="shared" si="127"/>
        <v>3.9665121029390757</v>
      </c>
      <c r="G91" s="29">
        <f>10^((LOG10($A91)-Sheet5!$I$2)/Sheet5!$I$3)</f>
        <v>7932.8169141492262</v>
      </c>
      <c r="H91" s="29" cm="1">
        <f t="array" ref="H91">SUM(ABS(IFERROR(LOG10(I91:Z91)-LOG10(G91),0)))</f>
        <v>0.47603402028759545</v>
      </c>
      <c r="J91" s="26">
        <f t="shared" si="128"/>
        <v>6352.3030156905297</v>
      </c>
      <c r="K91" s="26">
        <f t="shared" si="129"/>
        <v>9257.8918469793261</v>
      </c>
      <c r="L91" s="36">
        <f t="shared" si="130"/>
        <v>16288.479849955962</v>
      </c>
    </row>
    <row r="92" spans="1:30" s="26" customFormat="1" x14ac:dyDescent="0.25">
      <c r="A92" s="26">
        <v>0.2</v>
      </c>
      <c r="B92" s="27">
        <f t="shared" si="123"/>
        <v>25134.29525022184</v>
      </c>
      <c r="C92" s="26" t="e">
        <f t="shared" si="124"/>
        <v>#NUM!</v>
      </c>
      <c r="D92" s="26" t="e">
        <f t="shared" si="125"/>
        <v>#NUM!</v>
      </c>
      <c r="E92" s="26">
        <f t="shared" si="126"/>
        <v>-0.69897000433601875</v>
      </c>
      <c r="F92" s="26">
        <f t="shared" si="127"/>
        <v>4.4002667123915966</v>
      </c>
      <c r="G92" s="29">
        <f>10^((LOG10($A92)-Sheet5!$I$2)/Sheet5!$I$3)</f>
        <v>19719.299101239543</v>
      </c>
      <c r="H92" s="29" cm="1">
        <f t="array" ref="H92">SUM(ABS(IFERROR(LOG10(I92:Z92)-LOG10(G92),0)))</f>
        <v>0.6508180093902185</v>
      </c>
      <c r="J92" s="26">
        <f t="shared" si="128"/>
        <v>13306.651824895751</v>
      </c>
      <c r="K92" s="26">
        <f t="shared" si="129"/>
        <v>25134.29525022184</v>
      </c>
      <c r="L92" s="36">
        <f t="shared" si="130"/>
        <v>46720.939240553729</v>
      </c>
    </row>
    <row r="93" spans="1:30" s="26" customFormat="1" x14ac:dyDescent="0.25">
      <c r="A93" s="26">
        <v>0.1</v>
      </c>
      <c r="B93" s="27">
        <f t="shared" si="123"/>
        <v>53504.388842630462</v>
      </c>
      <c r="C93" s="26" t="e">
        <f t="shared" si="124"/>
        <v>#NUM!</v>
      </c>
      <c r="D93" s="26" t="e">
        <f t="shared" si="125"/>
        <v>#NUM!</v>
      </c>
      <c r="E93" s="26">
        <f t="shared" si="126"/>
        <v>-1</v>
      </c>
      <c r="F93" s="26">
        <f t="shared" si="127"/>
        <v>4.7283894076653361</v>
      </c>
      <c r="G93" s="29">
        <f>10^((LOG10($A93)-Sheet5!$I$2)/Sheet5!$I$3)</f>
        <v>39268.87636417021</v>
      </c>
      <c r="H93" s="29" cm="1">
        <f t="array" ref="H93">SUM(ABS(IFERROR(LOG10(I93:Z93)-LOG10(G93),0)))</f>
        <v>0.78303699299349727</v>
      </c>
      <c r="J93" s="26">
        <f t="shared" si="128"/>
        <v>23280.912576650095</v>
      </c>
      <c r="K93" s="26">
        <f t="shared" si="129"/>
        <v>53504.388842630462</v>
      </c>
      <c r="L93" s="36">
        <f t="shared" si="130"/>
        <v>103680.25577531013</v>
      </c>
    </row>
    <row r="94" spans="1:30" s="28" customFormat="1" ht="15.75" thickBot="1" x14ac:dyDescent="0.3">
      <c r="F94" s="28">
        <f>CORREL(F83:F93,E83:E93)</f>
        <v>-0.99981861897168434</v>
      </c>
      <c r="G94" s="30"/>
      <c r="H94" s="30"/>
    </row>
    <row r="95" spans="1:30" s="26" customFormat="1" x14ac:dyDescent="0.25">
      <c r="E95" s="26">
        <f>INTERCEPT(F97:F107,E97:E107)</f>
        <v>2.6012212635101859</v>
      </c>
      <c r="F95" s="26">
        <f>SLOPE(F97:F107,E97:E107)</f>
        <v>-0.61349509265905944</v>
      </c>
      <c r="G95" s="29" t="s">
        <v>139</v>
      </c>
      <c r="H95" s="29">
        <f>SUM(H97:H107)/11</f>
        <v>6.6030709082746935</v>
      </c>
      <c r="I95" s="54" t="s">
        <v>125</v>
      </c>
      <c r="J95" s="54" t="s">
        <v>126</v>
      </c>
      <c r="K95" s="54" t="s">
        <v>127</v>
      </c>
      <c r="L95" s="54" t="s">
        <v>128</v>
      </c>
      <c r="M95" s="54" t="s">
        <v>129</v>
      </c>
      <c r="N95" s="54" t="s">
        <v>399</v>
      </c>
      <c r="O95" s="62" t="s">
        <v>130</v>
      </c>
      <c r="P95" s="54" t="s">
        <v>132</v>
      </c>
      <c r="Q95" s="62" t="s">
        <v>191</v>
      </c>
      <c r="R95" s="64" t="s">
        <v>219</v>
      </c>
      <c r="S95" s="62" t="s">
        <v>222</v>
      </c>
      <c r="U95" s="54" t="s">
        <v>223</v>
      </c>
      <c r="V95" s="62" t="s">
        <v>243</v>
      </c>
      <c r="W95" s="54" t="s">
        <v>395</v>
      </c>
      <c r="X95" s="60" t="s">
        <v>393</v>
      </c>
      <c r="Y95" s="60" t="s">
        <v>394</v>
      </c>
      <c r="Z95" s="60" t="s">
        <v>398</v>
      </c>
      <c r="AA95" s="69" t="s">
        <v>404</v>
      </c>
      <c r="AB95" s="59" t="s">
        <v>371</v>
      </c>
      <c r="AC95" s="60"/>
      <c r="AD95" s="60"/>
    </row>
    <row r="96" spans="1:30" s="26" customFormat="1" x14ac:dyDescent="0.25">
      <c r="A96" s="26" t="s">
        <v>4</v>
      </c>
      <c r="B96" s="26" t="s">
        <v>3</v>
      </c>
      <c r="E96" s="26" t="s">
        <v>137</v>
      </c>
      <c r="F96" s="26" t="s">
        <v>138</v>
      </c>
      <c r="G96" s="29" t="s">
        <v>361</v>
      </c>
      <c r="H96" s="29" t="s">
        <v>360</v>
      </c>
      <c r="I96" s="26" t="s">
        <v>124</v>
      </c>
      <c r="J96" s="26" t="s">
        <v>124</v>
      </c>
      <c r="K96" s="26" t="s">
        <v>124</v>
      </c>
      <c r="L96" s="26" t="s">
        <v>124</v>
      </c>
      <c r="M96" s="26" t="s">
        <v>124</v>
      </c>
      <c r="N96" s="26" t="s">
        <v>124</v>
      </c>
      <c r="O96" s="36" t="s">
        <v>124</v>
      </c>
      <c r="P96" s="26" t="s">
        <v>124</v>
      </c>
      <c r="Q96" s="36" t="s">
        <v>124</v>
      </c>
      <c r="R96" s="36" t="s">
        <v>124</v>
      </c>
      <c r="S96" s="26" t="s">
        <v>124</v>
      </c>
      <c r="T96" s="26" t="s">
        <v>124</v>
      </c>
      <c r="U96" s="26" t="s">
        <v>124</v>
      </c>
      <c r="V96" s="26" t="s">
        <v>124</v>
      </c>
      <c r="W96" s="26" t="s">
        <v>124</v>
      </c>
      <c r="X96" s="26" t="s">
        <v>124</v>
      </c>
      <c r="Y96" s="26" t="s">
        <v>124</v>
      </c>
      <c r="Z96" s="26" t="s">
        <v>124</v>
      </c>
      <c r="AB96" s="37" t="s">
        <v>377</v>
      </c>
      <c r="AC96" s="35"/>
      <c r="AD96" s="35"/>
    </row>
    <row r="97" spans="1:27" s="26" customFormat="1" x14ac:dyDescent="0.25">
      <c r="A97" s="26">
        <v>100</v>
      </c>
      <c r="B97" s="27">
        <f>MEDIAN(I97:Y97)</f>
        <v>22.653472470323557</v>
      </c>
      <c r="C97" s="26">
        <f>_xlfn.PERCENTILE.EXC(I97:Y97,0.2)</f>
        <v>8.4831669973606552</v>
      </c>
      <c r="D97" s="26">
        <f>_xlfn.PERCENTILE.EXC(I97:Y97,0.8)</f>
        <v>41.975988171129359</v>
      </c>
      <c r="E97" s="26">
        <f>LOG10(A97)</f>
        <v>2</v>
      </c>
      <c r="F97" s="26">
        <f>LOG10(B97)</f>
        <v>1.3551347829100198</v>
      </c>
      <c r="G97" s="29">
        <f>10^(Sheet5!$C$3*LOG10($A97)+Sheet5!$C$2)</f>
        <v>28.533047680383564</v>
      </c>
      <c r="H97" s="29" cm="1">
        <f t="array" ref="H97">SUM(ABS(IFERROR(LOG10(I97:AC97)-LOG10(G97),0)))</f>
        <v>6.7380212320776991</v>
      </c>
      <c r="I97" s="26">
        <f>17.6*(269/$A97)^0.64</f>
        <v>33.155388948097922</v>
      </c>
      <c r="J97" s="26">
        <f>10^(3.04758 - 1.06166*LOG10($A97))</f>
        <v>8.3996269827743308</v>
      </c>
      <c r="K97" s="26">
        <f>48.32-14.061*LOG10($A97)</f>
        <v>20.198</v>
      </c>
      <c r="L97" s="26">
        <f>2224*$A97^-0.996</f>
        <v>22.653472470323557</v>
      </c>
      <c r="M97" s="26">
        <f>338*$A97^-0.39</f>
        <v>56.094037471389527</v>
      </c>
      <c r="N97" s="26">
        <f>357.87*$A97^-0.6445</f>
        <v>18.396080159180276</v>
      </c>
      <c r="O97" s="36">
        <f>IF($A97&gt;1.66,(39.36/$A97^1.15)^3-(108/$A97^1.15)^2+(1957/$A97^1.15),11689*$A97^-0.741)</f>
        <v>9.5229242643316283</v>
      </c>
      <c r="P97" s="26">
        <f>537.76*$A97^-0.6645</f>
        <v>25.21090843824377</v>
      </c>
      <c r="Q97" s="36">
        <f>EXP(2.35+5.21/LN($A97))</f>
        <v>32.503153823738856</v>
      </c>
      <c r="R97" s="36">
        <f>162.48*$A97^-0.6397</f>
        <v>8.5388603404182035</v>
      </c>
      <c r="S97" s="26">
        <f>10^(LOG10(532.1)-0.492*LOG10($A97))</f>
        <v>55.206887005676499</v>
      </c>
      <c r="T97" s="26">
        <f>10^(LOG10(235.3)-0.475*LOG10($A97))</f>
        <v>26.401094229725221</v>
      </c>
      <c r="U97" s="26">
        <f>10^(2.553-0.6438*LOG10($A97))</f>
        <v>18.42468196143636</v>
      </c>
      <c r="V97" s="26">
        <f>16.28+928.24/$A97</f>
        <v>25.562400000000004</v>
      </c>
      <c r="W97" s="26">
        <f>2.35+5.21/LN($A97)</f>
        <v>3.481337125357971</v>
      </c>
      <c r="X97" s="26">
        <f>10^(LOG10(415.4)-0.25*LOG10($A97))</f>
        <v>131.36101400339459</v>
      </c>
      <c r="Y97" s="26">
        <f>10^(LOG10(151.8)-1.096*LOG10($A97))</f>
        <v>0.97559995488723494</v>
      </c>
      <c r="Z97" s="26">
        <f>155.52*($A97)^-0.6193</f>
        <v>8.9781374018893416</v>
      </c>
      <c r="AA97" s="26">
        <f>10^(LOG10(348.3)-0.64*LOG10($A97))</f>
        <v>18.279043840499579</v>
      </c>
    </row>
    <row r="98" spans="1:27" s="26" customFormat="1" x14ac:dyDescent="0.25">
      <c r="A98" s="26">
        <v>50</v>
      </c>
      <c r="B98" s="27">
        <f t="shared" ref="B98:B107" si="136">MEDIAN(I98:Y98)</f>
        <v>34.844800000000006</v>
      </c>
      <c r="C98" s="26">
        <f t="shared" ref="C98:C107" si="137">_xlfn.PERCENTILE.EXC(I98:Y98,0.2)</f>
        <v>15.841120830889412</v>
      </c>
      <c r="D98" s="26">
        <f t="shared" ref="D98:D107" si="138">_xlfn.PERCENTILE.EXC(I98:Y98,0.8)</f>
        <v>60.40230831118722</v>
      </c>
      <c r="E98" s="26">
        <f t="shared" ref="E98:E107" si="139">LOG10(A98)</f>
        <v>1.6989700043360187</v>
      </c>
      <c r="F98" s="26">
        <f t="shared" ref="F98:F107" si="140">LOG10(B98)</f>
        <v>1.5421379761268121</v>
      </c>
      <c r="G98" s="29">
        <f>10^(Sheet5!$C$3*LOG10($A98)+Sheet5!$C$2)</f>
        <v>43.107323496636994</v>
      </c>
      <c r="H98" s="29" cm="1">
        <f t="array" ref="H98">SUM(ABS(IFERROR(LOG10(I98:AC98)-LOG10(G98),0)))</f>
        <v>6.2589585500456435</v>
      </c>
      <c r="I98" s="26">
        <f t="shared" ref="I98:I107" si="141">17.6*(269/$A98)^0.64</f>
        <v>51.667009386450211</v>
      </c>
      <c r="J98" s="26">
        <f t="shared" ref="J98:J107" si="142">10^(3.04758 - 1.06166*LOG10($A98))</f>
        <v>17.53280914163917</v>
      </c>
      <c r="K98" s="26">
        <f t="shared" ref="K98:K107" si="143">48.32-14.061*LOG10($A98)</f>
        <v>24.430782769031239</v>
      </c>
      <c r="L98" s="26">
        <f t="shared" ref="L98:L107" si="144">2224*$A98^-0.996</f>
        <v>45.181501398100849</v>
      </c>
      <c r="M98" s="26">
        <f t="shared" ref="M98:M107" si="145">338*$A98^-0.39</f>
        <v>73.505256698292712</v>
      </c>
      <c r="N98" s="26">
        <f t="shared" ref="N98:N107" si="146">357.87*$A98^-0.6445</f>
        <v>28.756705216244928</v>
      </c>
      <c r="O98" s="36">
        <f t="shared" ref="O98:O107" si="147">IF($A98&gt;1.66,(39.36/$A98^1.15)^3-(108/$A98^1.15)^2+(1957/$A98^1.15),11689*$A98^-0.741)</f>
        <v>20.406891613246824</v>
      </c>
      <c r="P98" s="26">
        <f t="shared" ref="P98:P107" si="148">537.76*$A98^-0.6645</f>
        <v>39.95976515934408</v>
      </c>
      <c r="Q98" s="36">
        <f t="shared" ref="Q98:Q101" si="149">EXP(2.35+5.21/LN($A98))</f>
        <v>39.717494537971753</v>
      </c>
      <c r="R98" s="36">
        <f t="shared" ref="R98:R107" si="150">162.48*$A98^-0.6397</f>
        <v>13.303588364764773</v>
      </c>
      <c r="S98" s="26">
        <f t="shared" ref="S98:S107" si="151">10^(LOG10(532.1)-0.492*LOG10($A98))</f>
        <v>77.642590473155323</v>
      </c>
      <c r="T98" s="26">
        <f t="shared" ref="T98:T107" si="152">10^(LOG10(235.3)-0.475*LOG10($A98))</f>
        <v>36.695361893669485</v>
      </c>
      <c r="U98" s="26">
        <f t="shared" ref="U98:U107" si="153">10^(2.553-0.6438*LOG10($A98))</f>
        <v>28.787444335747974</v>
      </c>
      <c r="V98" s="26">
        <f t="shared" ref="V98:V107" si="154">16.28+928.24/$A98</f>
        <v>34.844800000000006</v>
      </c>
      <c r="W98" s="26">
        <f t="shared" ref="W98:W102" si="155">2.35+5.21/LN($A98)</f>
        <v>3.6817917590900771</v>
      </c>
      <c r="X98" s="26">
        <f t="shared" ref="X98:X107" si="156">10^(LOG10(415.4)-0.25*LOG10($A98))</f>
        <v>156.21545248680886</v>
      </c>
      <c r="Y98" s="26">
        <f t="shared" ref="Y98:Y107" si="157">10^(LOG10(151.8)-1.096*LOG10($A98))</f>
        <v>2.0854541536173321</v>
      </c>
      <c r="Z98" s="26">
        <f t="shared" ref="Z98:Z107" si="158">155.52*($A98)^-0.6193</f>
        <v>13.791583205563805</v>
      </c>
      <c r="AA98" s="26">
        <f t="shared" ref="AA98:AA107" si="159">10^(LOG10(348.3)-0.64*LOG10($A98))</f>
        <v>28.484767021157413</v>
      </c>
    </row>
    <row r="99" spans="1:27" s="26" customFormat="1" x14ac:dyDescent="0.25">
      <c r="A99" s="26">
        <v>20</v>
      </c>
      <c r="B99" s="27">
        <f t="shared" si="136"/>
        <v>56.706478632086302</v>
      </c>
      <c r="C99" s="26">
        <f t="shared" si="137"/>
        <v>27.578661147065532</v>
      </c>
      <c r="D99" s="26">
        <f t="shared" si="138"/>
        <v>108.06347205028675</v>
      </c>
      <c r="E99" s="26">
        <f t="shared" si="139"/>
        <v>1.3010299956639813</v>
      </c>
      <c r="F99" s="26">
        <f t="shared" si="140"/>
        <v>1.7536326792356305</v>
      </c>
      <c r="G99" s="29">
        <f>10^(Sheet5!$C$3*LOG10($A99)+Sheet5!$C$2)</f>
        <v>74.377983920531292</v>
      </c>
      <c r="H99" s="29" cm="1">
        <f t="array" ref="H99">SUM(ABS(IFERROR(LOG10(I99:AC99)-LOG10(G99),0)))</f>
        <v>5.9342305260403974</v>
      </c>
      <c r="I99" s="26">
        <f t="shared" si="141"/>
        <v>92.874166624922339</v>
      </c>
      <c r="J99" s="26">
        <f t="shared" si="142"/>
        <v>46.379759767902236</v>
      </c>
      <c r="K99" s="26">
        <f t="shared" si="143"/>
        <v>30.026217230968761</v>
      </c>
      <c r="L99" s="26">
        <f t="shared" si="144"/>
        <v>112.54051733694138</v>
      </c>
      <c r="M99" s="26">
        <f t="shared" si="145"/>
        <v>105.07877519251699</v>
      </c>
      <c r="N99" s="26">
        <f t="shared" si="146"/>
        <v>51.905270789673139</v>
      </c>
      <c r="O99" s="36">
        <f t="shared" si="147"/>
        <v>52.540864797709347</v>
      </c>
      <c r="P99" s="26">
        <f t="shared" si="148"/>
        <v>73.460530956742076</v>
      </c>
      <c r="Q99" s="36">
        <f t="shared" si="149"/>
        <v>59.688580794132832</v>
      </c>
      <c r="R99" s="36">
        <f t="shared" si="150"/>
        <v>23.907327021210691</v>
      </c>
      <c r="S99" s="26">
        <f t="shared" si="151"/>
        <v>121.8671068622768</v>
      </c>
      <c r="T99" s="26">
        <f t="shared" si="152"/>
        <v>56.706478632086302</v>
      </c>
      <c r="U99" s="26">
        <f t="shared" si="153"/>
        <v>51.927437153826361</v>
      </c>
      <c r="V99" s="26">
        <f t="shared" si="154"/>
        <v>62.692</v>
      </c>
      <c r="W99" s="26">
        <f t="shared" si="155"/>
        <v>4.0891407256226904</v>
      </c>
      <c r="X99" s="26">
        <f t="shared" si="156"/>
        <v>196.43053218995973</v>
      </c>
      <c r="Y99" s="26">
        <f t="shared" si="157"/>
        <v>5.693022448553255</v>
      </c>
      <c r="Z99" s="26">
        <f t="shared" si="158"/>
        <v>24.325309309619431</v>
      </c>
      <c r="AA99" s="26">
        <f t="shared" si="159"/>
        <v>51.202866781154448</v>
      </c>
    </row>
    <row r="100" spans="1:27" s="26" customFormat="1" x14ac:dyDescent="0.25">
      <c r="A100" s="26">
        <v>10</v>
      </c>
      <c r="B100" s="27">
        <f t="shared" si="136"/>
        <v>100.75322907807738</v>
      </c>
      <c r="C100" s="26">
        <f t="shared" si="137"/>
        <v>36.052243138231319</v>
      </c>
      <c r="D100" s="26">
        <f t="shared" si="138"/>
        <v>155.39434135322884</v>
      </c>
      <c r="E100" s="26">
        <f t="shared" si="139"/>
        <v>1</v>
      </c>
      <c r="F100" s="26">
        <f t="shared" si="140"/>
        <v>2.0032589739031503</v>
      </c>
      <c r="G100" s="29">
        <f>10^(Sheet5!$C$3*LOG10($A100)+Sheet5!$C$2)</f>
        <v>112.36920254033316</v>
      </c>
      <c r="H100" s="29" cm="1">
        <f t="array" ref="H100">SUM(ABS(IFERROR(LOG10(I100:AC100)-LOG10(G100),0)))</f>
        <v>5.5946646256651746</v>
      </c>
      <c r="I100" s="26">
        <f t="shared" si="141"/>
        <v>144.72852199925364</v>
      </c>
      <c r="J100" s="26">
        <f t="shared" si="142"/>
        <v>96.809950931549821</v>
      </c>
      <c r="K100" s="26">
        <f t="shared" si="143"/>
        <v>34.259</v>
      </c>
      <c r="L100" s="26">
        <f t="shared" si="144"/>
        <v>224.45784186345463</v>
      </c>
      <c r="M100" s="26">
        <f t="shared" si="145"/>
        <v>137.69453389779008</v>
      </c>
      <c r="N100" s="26">
        <f t="shared" si="146"/>
        <v>81.138185871794335</v>
      </c>
      <c r="O100" s="36">
        <f t="shared" si="147"/>
        <v>101.72192802842054</v>
      </c>
      <c r="P100" s="26">
        <f t="shared" si="148"/>
        <v>116.4363264696631</v>
      </c>
      <c r="Q100" s="36">
        <f t="shared" si="149"/>
        <v>100.75322907807738</v>
      </c>
      <c r="R100" s="36">
        <f t="shared" si="150"/>
        <v>37.247738563718869</v>
      </c>
      <c r="S100" s="26">
        <f t="shared" si="151"/>
        <v>171.39307038419159</v>
      </c>
      <c r="T100" s="26">
        <f t="shared" si="152"/>
        <v>78.817367833836897</v>
      </c>
      <c r="U100" s="26">
        <f t="shared" si="153"/>
        <v>81.133460522826311</v>
      </c>
      <c r="V100" s="26">
        <f t="shared" si="154"/>
        <v>109.104</v>
      </c>
      <c r="W100" s="26">
        <f t="shared" si="155"/>
        <v>4.6126742507159424</v>
      </c>
      <c r="X100" s="26">
        <f t="shared" si="156"/>
        <v>233.59658648407105</v>
      </c>
      <c r="Y100" s="26">
        <f t="shared" si="157"/>
        <v>12.169473002224967</v>
      </c>
      <c r="Z100" s="26">
        <f t="shared" si="158"/>
        <v>37.366829257268144</v>
      </c>
      <c r="AA100" s="26">
        <f t="shared" si="159"/>
        <v>79.790920345901498</v>
      </c>
    </row>
    <row r="101" spans="1:27" s="26" customFormat="1" x14ac:dyDescent="0.25">
      <c r="A101" s="26">
        <v>5</v>
      </c>
      <c r="B101" s="27">
        <f t="shared" si="136"/>
        <v>184.55377255213955</v>
      </c>
      <c r="C101" s="26">
        <f t="shared" si="137"/>
        <v>50.216014158212971</v>
      </c>
      <c r="D101" s="26">
        <f t="shared" si="138"/>
        <v>260.39363957631394</v>
      </c>
      <c r="E101" s="26">
        <f t="shared" si="139"/>
        <v>0.69897000433601886</v>
      </c>
      <c r="F101" s="26">
        <f t="shared" si="140"/>
        <v>2.2661229272441177</v>
      </c>
      <c r="G101" s="29">
        <f>10^(Sheet5!$C$3*LOG10($A101)+Sheet5!$C$2)</f>
        <v>169.76579646258625</v>
      </c>
      <c r="H101" s="29" cm="1">
        <f t="array" ref="H101">SUM(ABS(IFERROR(LOG10(I101:AC101)-LOG10(G101),0)))</f>
        <v>5.9572096202175988</v>
      </c>
      <c r="I101" s="26">
        <f t="shared" si="141"/>
        <v>225.53467601686779</v>
      </c>
      <c r="J101" s="26">
        <f t="shared" si="142"/>
        <v>202.07449642408949</v>
      </c>
      <c r="K101" s="26">
        <f t="shared" si="143"/>
        <v>38.491782769031239</v>
      </c>
      <c r="L101" s="26">
        <f t="shared" si="144"/>
        <v>447.67274903455558</v>
      </c>
      <c r="M101" s="26">
        <f t="shared" si="145"/>
        <v>180.43400896701598</v>
      </c>
      <c r="N101" s="26">
        <f t="shared" si="146"/>
        <v>126.83500358263537</v>
      </c>
      <c r="O101" s="36">
        <f t="shared" si="147"/>
        <v>256.00606809668477</v>
      </c>
      <c r="P101" s="26">
        <f t="shared" si="148"/>
        <v>184.55377255213955</v>
      </c>
      <c r="Q101" s="36">
        <f t="shared" si="149"/>
        <v>266.97499679575776</v>
      </c>
      <c r="R101" s="36">
        <f t="shared" si="150"/>
        <v>58.032168417667457</v>
      </c>
      <c r="S101" s="26">
        <f t="shared" si="151"/>
        <v>241.04604870055778</v>
      </c>
      <c r="T101" s="26">
        <f t="shared" si="152"/>
        <v>109.54969559226534</v>
      </c>
      <c r="U101" s="26">
        <f t="shared" si="153"/>
        <v>126.76609471230122</v>
      </c>
      <c r="V101" s="26">
        <f t="shared" si="154"/>
        <v>201.928</v>
      </c>
      <c r="W101" s="26">
        <f t="shared" si="155"/>
        <v>5.5871550090555777</v>
      </c>
      <c r="X101" s="26">
        <f t="shared" si="156"/>
        <v>277.79472268720588</v>
      </c>
      <c r="Y101" s="26">
        <f t="shared" si="157"/>
        <v>26.013611309317309</v>
      </c>
      <c r="Z101" s="26">
        <f t="shared" si="158"/>
        <v>57.400294934365874</v>
      </c>
      <c r="AA101" s="26">
        <f t="shared" si="159"/>
        <v>124.34051782407768</v>
      </c>
    </row>
    <row r="102" spans="1:27" s="26" customFormat="1" x14ac:dyDescent="0.25">
      <c r="A102" s="26">
        <v>2</v>
      </c>
      <c r="B102" s="27">
        <f t="shared" si="136"/>
        <v>298.60726398947241</v>
      </c>
      <c r="C102" s="26">
        <f t="shared" si="137"/>
        <v>84.323175522352187</v>
      </c>
      <c r="D102" s="26">
        <f t="shared" si="138"/>
        <v>512.89011884139632</v>
      </c>
      <c r="E102" s="26">
        <f t="shared" si="139"/>
        <v>0.3010299956639812</v>
      </c>
      <c r="F102" s="26">
        <f t="shared" si="140"/>
        <v>2.4751003682656747</v>
      </c>
      <c r="G102" s="29">
        <f>10^(Sheet5!$C$3*LOG10($A102)+Sheet5!$C$2)</f>
        <v>292.91629948993489</v>
      </c>
      <c r="H102" s="29" cm="1">
        <f t="array" ref="H102">SUM(ABS(IFERROR(LOG10(I102:AC102)-LOG10(G102),0)))</f>
        <v>7.0402240068224682</v>
      </c>
      <c r="I102" s="26">
        <f t="shared" si="141"/>
        <v>405.41044137889821</v>
      </c>
      <c r="J102" s="26">
        <f t="shared" si="142"/>
        <v>534.55019806899384</v>
      </c>
      <c r="K102" s="26">
        <f t="shared" si="143"/>
        <v>44.087217230968761</v>
      </c>
      <c r="L102" s="26">
        <f t="shared" si="144"/>
        <v>1115.0873967219984</v>
      </c>
      <c r="M102" s="26">
        <f t="shared" si="145"/>
        <v>257.93780631433447</v>
      </c>
      <c r="N102" s="26">
        <f t="shared" si="146"/>
        <v>228.9346139295132</v>
      </c>
      <c r="O102" s="36">
        <f t="shared" si="147"/>
        <v>4093.0576037287601</v>
      </c>
      <c r="P102" s="26">
        <f t="shared" si="148"/>
        <v>339.27672166461036</v>
      </c>
      <c r="Q102" s="36"/>
      <c r="R102" s="36">
        <f t="shared" si="150"/>
        <v>104.28720357777557</v>
      </c>
      <c r="S102" s="26">
        <f t="shared" si="151"/>
        <v>378.34369508674484</v>
      </c>
      <c r="T102" s="26">
        <f t="shared" si="152"/>
        <v>169.29053568827325</v>
      </c>
      <c r="U102" s="26">
        <f t="shared" si="153"/>
        <v>228.66352218125738</v>
      </c>
      <c r="V102" s="26">
        <f t="shared" si="154"/>
        <v>480.4</v>
      </c>
      <c r="W102" s="26">
        <f t="shared" si="155"/>
        <v>9.8664411630314994</v>
      </c>
      <c r="X102" s="26">
        <f t="shared" si="156"/>
        <v>349.30837089639334</v>
      </c>
      <c r="Y102" s="26">
        <f t="shared" si="157"/>
        <v>71.013823485403236</v>
      </c>
      <c r="Z102" s="26">
        <f t="shared" si="158"/>
        <v>101.2414534234578</v>
      </c>
      <c r="AA102" s="26">
        <f t="shared" si="159"/>
        <v>223.50862006057983</v>
      </c>
    </row>
    <row r="103" spans="1:27" s="26" customFormat="1" x14ac:dyDescent="0.25">
      <c r="A103" s="26">
        <v>1</v>
      </c>
      <c r="B103" s="27">
        <f t="shared" si="136"/>
        <v>415.4000000000002</v>
      </c>
      <c r="C103" s="26">
        <f t="shared" si="137"/>
        <v>177.04400000000007</v>
      </c>
      <c r="D103" s="26">
        <f t="shared" si="138"/>
        <v>1081.5309338949648</v>
      </c>
      <c r="E103" s="26">
        <f t="shared" si="139"/>
        <v>0</v>
      </c>
      <c r="F103" s="26">
        <f t="shared" si="140"/>
        <v>2.6184664921990803</v>
      </c>
      <c r="G103" s="29">
        <f>10^(Sheet5!$C$3*LOG10($A103)+Sheet5!$C$2)</f>
        <v>442.53378822309799</v>
      </c>
      <c r="H103" s="29" cm="1">
        <f t="array" ref="H103">SUM(ABS(IFERROR(LOG10(I103:AC103)-LOG10(G103),0)))</f>
        <v>6.1970097447998773</v>
      </c>
      <c r="I103" s="26">
        <f t="shared" si="141"/>
        <v>631.76291229393371</v>
      </c>
      <c r="J103" s="26">
        <f t="shared" si="142"/>
        <v>1115.7836673687059</v>
      </c>
      <c r="K103" s="26">
        <f t="shared" si="143"/>
        <v>48.32</v>
      </c>
      <c r="L103" s="26">
        <f t="shared" si="144"/>
        <v>2224</v>
      </c>
      <c r="M103" s="26">
        <f t="shared" si="145"/>
        <v>338</v>
      </c>
      <c r="N103" s="26">
        <f t="shared" si="146"/>
        <v>357.87</v>
      </c>
      <c r="O103" s="36">
        <f t="shared" si="147"/>
        <v>11689</v>
      </c>
      <c r="P103" s="26">
        <f t="shared" si="148"/>
        <v>537.76</v>
      </c>
      <c r="Q103" s="36"/>
      <c r="R103" s="36">
        <f t="shared" si="150"/>
        <v>162.47999999999999</v>
      </c>
      <c r="S103" s="26">
        <f t="shared" si="151"/>
        <v>532.10000000000025</v>
      </c>
      <c r="T103" s="26">
        <f t="shared" si="152"/>
        <v>235.30000000000035</v>
      </c>
      <c r="U103" s="26">
        <f t="shared" si="153"/>
        <v>357.27283815192919</v>
      </c>
      <c r="V103" s="26">
        <f t="shared" si="154"/>
        <v>944.52</v>
      </c>
      <c r="X103" s="26">
        <f t="shared" si="156"/>
        <v>415.4000000000002</v>
      </c>
      <c r="Y103" s="26">
        <f t="shared" si="157"/>
        <v>151.80000000000004</v>
      </c>
      <c r="Z103" s="26">
        <f>155.52*($A103)^-0.6193</f>
        <v>155.52000000000001</v>
      </c>
      <c r="AA103" s="26">
        <f t="shared" si="159"/>
        <v>348.30000000000018</v>
      </c>
    </row>
    <row r="104" spans="1:27" s="26" customFormat="1" x14ac:dyDescent="0.25">
      <c r="A104" s="26">
        <v>0.7</v>
      </c>
      <c r="B104" s="27">
        <f t="shared" si="136"/>
        <v>454.1423283261455</v>
      </c>
      <c r="C104" s="26">
        <f t="shared" si="137"/>
        <v>235.27701025233927</v>
      </c>
      <c r="D104" s="26">
        <f t="shared" si="138"/>
        <v>1572.0039453332504</v>
      </c>
      <c r="E104" s="26">
        <f t="shared" si="139"/>
        <v>-0.15490195998574319</v>
      </c>
      <c r="F104" s="26">
        <f t="shared" si="140"/>
        <v>2.6571919821955161</v>
      </c>
      <c r="G104" s="29">
        <f>10^(Sheet5!$C$3*LOG10($A104)+Sheet5!$C$2)</f>
        <v>547.21682063074377</v>
      </c>
      <c r="H104" s="29" cm="1">
        <f t="array" ref="H104">SUM(ABS(IFERROR(LOG10(I104:AC104)-LOG10(G104),0)))</f>
        <v>6.4827433328071082</v>
      </c>
      <c r="I104" s="26">
        <f t="shared" si="141"/>
        <v>793.76396925231302</v>
      </c>
      <c r="J104" s="26">
        <f t="shared" si="142"/>
        <v>1629.420645952277</v>
      </c>
      <c r="K104" s="26">
        <f t="shared" si="143"/>
        <v>50.498076459359538</v>
      </c>
      <c r="L104" s="26">
        <f t="shared" si="144"/>
        <v>3172.6132600968981</v>
      </c>
      <c r="M104" s="26">
        <f t="shared" si="145"/>
        <v>388.44404208609643</v>
      </c>
      <c r="N104" s="26">
        <f t="shared" si="146"/>
        <v>450.3597885089884</v>
      </c>
      <c r="O104" s="36">
        <f t="shared" si="147"/>
        <v>15225.084475968319</v>
      </c>
      <c r="P104" s="26">
        <f t="shared" si="148"/>
        <v>681.58629228187931</v>
      </c>
      <c r="Q104" s="36"/>
      <c r="R104" s="36">
        <f t="shared" si="150"/>
        <v>204.12241326664034</v>
      </c>
      <c r="S104" s="26">
        <f t="shared" si="151"/>
        <v>634.16902130171638</v>
      </c>
      <c r="T104" s="26">
        <f t="shared" si="152"/>
        <v>278.74068191395253</v>
      </c>
      <c r="U104" s="26">
        <f t="shared" si="153"/>
        <v>449.49605224307663</v>
      </c>
      <c r="V104" s="26">
        <f t="shared" si="154"/>
        <v>1342.3371428571429</v>
      </c>
      <c r="X104" s="26">
        <f t="shared" si="156"/>
        <v>454.1423283261455</v>
      </c>
      <c r="Y104" s="26">
        <f t="shared" si="157"/>
        <v>224.41109233693592</v>
      </c>
      <c r="Z104" s="26">
        <f t="shared" si="158"/>
        <v>193.96216872858378</v>
      </c>
      <c r="AA104" s="26">
        <f t="shared" si="159"/>
        <v>437.61351784124901</v>
      </c>
    </row>
    <row r="105" spans="1:27" s="26" customFormat="1" x14ac:dyDescent="0.25">
      <c r="A105" s="26">
        <v>0.5</v>
      </c>
      <c r="B105" s="27">
        <f t="shared" si="136"/>
        <v>559.42146406673055</v>
      </c>
      <c r="C105" s="26">
        <f t="shared" si="137"/>
        <v>325.00115057111009</v>
      </c>
      <c r="D105" s="26">
        <f t="shared" si="138"/>
        <v>2237.7606518558509</v>
      </c>
      <c r="E105" s="26">
        <f t="shared" si="139"/>
        <v>-0.3010299956639812</v>
      </c>
      <c r="F105" s="26">
        <f t="shared" si="140"/>
        <v>2.7477391255087094</v>
      </c>
      <c r="G105" s="29">
        <f>10^(Sheet5!$C$3*LOG10($A105)+Sheet5!$C$2)</f>
        <v>668.57376684090946</v>
      </c>
      <c r="H105" s="29" cm="1">
        <f t="array" ref="H105">SUM(ABS(IFERROR(LOG10(I105:AC105)-LOG10(G105),0)))</f>
        <v>6.7536513779015444</v>
      </c>
      <c r="I105" s="26">
        <f t="shared" si="141"/>
        <v>984.49456800519204</v>
      </c>
      <c r="J105" s="26">
        <f t="shared" si="142"/>
        <v>2329.0108148198133</v>
      </c>
      <c r="K105" s="26">
        <f t="shared" si="143"/>
        <v>52.552782769031239</v>
      </c>
      <c r="L105" s="26">
        <f t="shared" si="144"/>
        <v>4435.6846060140051</v>
      </c>
      <c r="M105" s="26">
        <f t="shared" si="145"/>
        <v>442.9129705041268</v>
      </c>
      <c r="N105" s="26">
        <f t="shared" si="146"/>
        <v>559.42146406673055</v>
      </c>
      <c r="O105" s="36">
        <f t="shared" si="147"/>
        <v>19536.222165675092</v>
      </c>
      <c r="P105" s="26">
        <f t="shared" si="148"/>
        <v>852.35973803670686</v>
      </c>
      <c r="Q105" s="36"/>
      <c r="R105" s="36">
        <f t="shared" si="150"/>
        <v>253.14467637739969</v>
      </c>
      <c r="S105" s="26">
        <f t="shared" si="151"/>
        <v>748.34182167377071</v>
      </c>
      <c r="T105" s="26">
        <f t="shared" si="152"/>
        <v>327.04775712890205</v>
      </c>
      <c r="U105" s="26">
        <f t="shared" si="153"/>
        <v>558.21706787125197</v>
      </c>
      <c r="V105" s="26">
        <f t="shared" si="154"/>
        <v>1872.76</v>
      </c>
      <c r="X105" s="26">
        <f t="shared" si="156"/>
        <v>493.9966355721308</v>
      </c>
      <c r="Y105" s="26">
        <f t="shared" si="157"/>
        <v>324.48949893166207</v>
      </c>
      <c r="Z105" s="26">
        <f t="shared" si="158"/>
        <v>238.89888560604135</v>
      </c>
      <c r="AA105" s="26">
        <f t="shared" si="159"/>
        <v>542.76604619150419</v>
      </c>
    </row>
    <row r="106" spans="1:27" s="26" customFormat="1" x14ac:dyDescent="0.25">
      <c r="A106" s="26">
        <v>0.2</v>
      </c>
      <c r="B106" s="27">
        <f t="shared" si="136"/>
        <v>1009.7444182004491</v>
      </c>
      <c r="C106" s="26">
        <f t="shared" si="137"/>
        <v>528.55119497672388</v>
      </c>
      <c r="D106" s="26">
        <f t="shared" si="138"/>
        <v>5860.2651990738304</v>
      </c>
      <c r="E106" s="26">
        <f t="shared" si="139"/>
        <v>-0.69897000433601875</v>
      </c>
      <c r="F106" s="26">
        <f t="shared" si="140"/>
        <v>3.0042114610978374</v>
      </c>
      <c r="G106" s="29">
        <f>10^(Sheet5!$C$3*LOG10($A106)+Sheet5!$C$2)</f>
        <v>1153.5666064644829</v>
      </c>
      <c r="H106" s="29" cm="1">
        <f t="array" ref="H106">SUM(ABS(IFERROR(LOG10(I106:AC106)-LOG10(G106),0)))</f>
        <v>7.4964580575011635</v>
      </c>
      <c r="I106" s="26">
        <f t="shared" si="141"/>
        <v>1769.680762173628</v>
      </c>
      <c r="J106" s="26">
        <f t="shared" si="142"/>
        <v>6160.9614988422873</v>
      </c>
      <c r="K106" s="26">
        <f t="shared" si="143"/>
        <v>58.148217230968761</v>
      </c>
      <c r="L106" s="26">
        <f t="shared" si="144"/>
        <v>11048.642140194706</v>
      </c>
      <c r="M106" s="26">
        <f t="shared" si="145"/>
        <v>633.16223285203534</v>
      </c>
      <c r="N106" s="26">
        <f t="shared" si="146"/>
        <v>1009.7444182004491</v>
      </c>
      <c r="O106" s="36">
        <f t="shared" si="147"/>
        <v>38522.470552080544</v>
      </c>
      <c r="P106" s="26">
        <f t="shared" si="148"/>
        <v>1566.9461187432523</v>
      </c>
      <c r="Q106" s="36"/>
      <c r="R106" s="36">
        <f t="shared" si="150"/>
        <v>454.91580135342309</v>
      </c>
      <c r="S106" s="26">
        <f t="shared" si="151"/>
        <v>1174.5905461894649</v>
      </c>
      <c r="T106" s="26">
        <f t="shared" si="152"/>
        <v>505.39702279108099</v>
      </c>
      <c r="U106" s="26">
        <f t="shared" si="153"/>
        <v>1006.9244553981522</v>
      </c>
      <c r="V106" s="26">
        <f t="shared" si="154"/>
        <v>4657.4799999999996</v>
      </c>
      <c r="X106" s="26">
        <f t="shared" si="156"/>
        <v>621.16788371929522</v>
      </c>
      <c r="Y106" s="26">
        <f t="shared" si="157"/>
        <v>885.81472699050414</v>
      </c>
      <c r="Z106" s="26">
        <f t="shared" si="158"/>
        <v>421.36491506979053</v>
      </c>
      <c r="AA106" s="26">
        <f t="shared" si="159"/>
        <v>975.65051298594983</v>
      </c>
    </row>
    <row r="107" spans="1:27" s="26" customFormat="1" x14ac:dyDescent="0.25">
      <c r="A107" s="26">
        <v>0.1</v>
      </c>
      <c r="B107" s="27">
        <f t="shared" si="136"/>
        <v>1651.9361568430993</v>
      </c>
      <c r="C107" s="26">
        <f t="shared" si="137"/>
        <v>714.74838156219198</v>
      </c>
      <c r="D107" s="26">
        <f t="shared" si="138"/>
        <v>12147.713055144071</v>
      </c>
      <c r="E107" s="26">
        <f t="shared" si="139"/>
        <v>-1</v>
      </c>
      <c r="F107" s="26">
        <f t="shared" si="140"/>
        <v>3.2179932589247229</v>
      </c>
      <c r="G107" s="29">
        <f>10^(Sheet5!$C$3*LOG10($A107)+Sheet5!$C$2)</f>
        <v>1742.7920577152215</v>
      </c>
      <c r="H107" s="29" cm="1">
        <f t="array" ref="H107">SUM(ABS(IFERROR(LOG10(I107:AC107)-LOG10(G107),0)))</f>
        <v>8.1806089171429495</v>
      </c>
      <c r="I107" s="26">
        <f t="shared" si="141"/>
        <v>2757.7451343845764</v>
      </c>
      <c r="J107" s="26">
        <f t="shared" si="142"/>
        <v>12859.971318930087</v>
      </c>
      <c r="K107" s="26">
        <f t="shared" si="143"/>
        <v>62.381</v>
      </c>
      <c r="L107" s="26">
        <f t="shared" si="144"/>
        <v>22036.102454415144</v>
      </c>
      <c r="M107" s="26">
        <f t="shared" si="145"/>
        <v>829.69161350154013</v>
      </c>
      <c r="N107" s="26">
        <f t="shared" si="146"/>
        <v>1578.4298789026859</v>
      </c>
      <c r="O107" s="36">
        <f t="shared" si="147"/>
        <v>64383.911632827592</v>
      </c>
      <c r="P107" s="26">
        <f t="shared" si="148"/>
        <v>2483.63913881589</v>
      </c>
      <c r="Q107" s="36"/>
      <c r="R107" s="36">
        <f t="shared" si="150"/>
        <v>708.76116022019767</v>
      </c>
      <c r="S107" s="26">
        <f t="shared" si="151"/>
        <v>1651.9361568430993</v>
      </c>
      <c r="T107" s="26">
        <f t="shared" si="152"/>
        <v>702.46053023139689</v>
      </c>
      <c r="U107" s="26">
        <f t="shared" si="153"/>
        <v>1573.2581854464695</v>
      </c>
      <c r="V107" s="26">
        <f t="shared" si="154"/>
        <v>9298.68</v>
      </c>
      <c r="X107" s="26">
        <f t="shared" si="156"/>
        <v>738.69726693016912</v>
      </c>
      <c r="Y107" s="26">
        <f t="shared" si="157"/>
        <v>1893.5281746207881</v>
      </c>
      <c r="Z107" s="26">
        <f t="shared" si="158"/>
        <v>647.27114611405079</v>
      </c>
      <c r="AA107" s="26">
        <f t="shared" si="159"/>
        <v>1520.3846436924991</v>
      </c>
    </row>
    <row r="108" spans="1:27" s="28" customFormat="1" ht="15.75" thickBot="1" x14ac:dyDescent="0.3">
      <c r="F108" s="28">
        <f>CORREL(F97:F107,E97:E107)</f>
        <v>-0.99732033527301045</v>
      </c>
      <c r="G108" s="30"/>
      <c r="H108" s="30"/>
    </row>
    <row r="109" spans="1:27" s="26" customFormat="1" x14ac:dyDescent="0.25">
      <c r="E109" s="26">
        <f>INTERCEPT(F111:F115,E111:E115)</f>
        <v>2.890292273978547</v>
      </c>
      <c r="F109" s="26">
        <f>SLOPE(F111:F115,E111:E115)</f>
        <v>-1.2095123618569548</v>
      </c>
      <c r="G109" s="29" t="s">
        <v>139</v>
      </c>
      <c r="H109" s="29">
        <f>SUM(H111:H115)/5</f>
        <v>0.44715999996784533</v>
      </c>
      <c r="I109" s="54" t="s">
        <v>179</v>
      </c>
      <c r="J109" s="40" t="s">
        <v>221</v>
      </c>
      <c r="K109" s="54" t="s">
        <v>389</v>
      </c>
    </row>
    <row r="110" spans="1:27" s="26" customFormat="1" x14ac:dyDescent="0.25">
      <c r="A110" s="26" t="s">
        <v>176</v>
      </c>
      <c r="B110" s="26" t="s">
        <v>177</v>
      </c>
      <c r="E110" s="26" t="s">
        <v>137</v>
      </c>
      <c r="F110" s="26" t="s">
        <v>138</v>
      </c>
      <c r="G110" s="29" t="s">
        <v>361</v>
      </c>
      <c r="H110" s="29" t="s">
        <v>360</v>
      </c>
      <c r="I110" s="26" t="s">
        <v>187</v>
      </c>
      <c r="J110" s="26" t="s">
        <v>187</v>
      </c>
      <c r="K110" s="35" t="s">
        <v>388</v>
      </c>
    </row>
    <row r="111" spans="1:27" s="26" customFormat="1" x14ac:dyDescent="0.25">
      <c r="A111" s="26">
        <v>100</v>
      </c>
      <c r="B111" s="27">
        <f>MEDIAN(I111:Z111)</f>
        <v>3.0211699149955829</v>
      </c>
      <c r="C111" s="26" t="e">
        <f>_xlfn.PERCENTILE.EXC(I111:Z111,0.2)</f>
        <v>#NUM!</v>
      </c>
      <c r="D111" s="26" t="e">
        <f>_xlfn.PERCENTILE.EXC(I111:Z111,0.8)</f>
        <v>#NUM!</v>
      </c>
      <c r="E111" s="26">
        <f>LOG10(A111)</f>
        <v>2</v>
      </c>
      <c r="F111" s="26">
        <f>LOG10(B111)</f>
        <v>0.48017515131426636</v>
      </c>
      <c r="G111" s="29">
        <f>10^((Sheet5!$C$3*(Sheet5!$K$3*LOG10($A111)+Sheet5!$K$2)+Sheet5!$C$2-Sheet5!$D$2)/Sheet5!$D$3)</f>
        <v>2.186984909843364</v>
      </c>
      <c r="H111" s="29" cm="1">
        <f t="array" ref="H111">SUM(ABS(IFERROR(LOG10(I111:Z111)-LOG10(G111),0)))</f>
        <v>0.24624978877638865</v>
      </c>
      <c r="I111" s="26">
        <f>10^(-5.13+6.55*LOG10($A111)^-0.26)</f>
        <v>2.1868846299911655</v>
      </c>
      <c r="K111" s="26">
        <f>2.1199*(304.8/$A111)-2.606</f>
        <v>3.8554551999999997</v>
      </c>
    </row>
    <row r="112" spans="1:27" s="26" customFormat="1" x14ac:dyDescent="0.25">
      <c r="A112" s="26">
        <v>50</v>
      </c>
      <c r="B112" s="27">
        <f t="shared" ref="B112:B115" si="160">MEDIAN(I112:Z112)</f>
        <v>7.0454676574425932</v>
      </c>
      <c r="C112" s="26" t="e">
        <f t="shared" ref="C112:C115" si="161">_xlfn.PERCENTILE.EXC(I112:Z112,0.2)</f>
        <v>#NUM!</v>
      </c>
      <c r="D112" s="26" t="e">
        <f t="shared" ref="D112:D115" si="162">_xlfn.PERCENTILE.EXC(I112:Z112,0.8)</f>
        <v>#NUM!</v>
      </c>
      <c r="E112" s="26">
        <f t="shared" ref="E112:E115" si="163">LOG10(A112)</f>
        <v>1.6989700043360187</v>
      </c>
      <c r="F112" s="26">
        <f t="shared" ref="F112:F115" si="164">LOG10(B112)</f>
        <v>0.84790982559384431</v>
      </c>
      <c r="G112" s="29">
        <f>10^((Sheet5!$C$3*(Sheet5!$K$3*LOG10($A112)+Sheet5!$K$2)+Sheet5!$C$2-Sheet5!$D$2)/Sheet5!$D$3)</f>
        <v>4.6078753707757745</v>
      </c>
      <c r="H112" s="29" cm="1">
        <f t="array" ref="H112">SUM(ABS(IFERROR(LOG10(I112:Z112)-LOG10(G112),0)))</f>
        <v>0.43674489590079657</v>
      </c>
      <c r="I112" s="26">
        <f t="shared" ref="I112:I115" si="165">10^(-5.13+6.55*LOG10($A112)^-0.26)</f>
        <v>3.7740249148851861</v>
      </c>
      <c r="K112" s="26">
        <f t="shared" ref="K112:K115" si="166">2.1199*(304.8/$A112)-2.606</f>
        <v>10.316910399999999</v>
      </c>
    </row>
    <row r="113" spans="1:11" s="26" customFormat="1" x14ac:dyDescent="0.25">
      <c r="A113" s="26">
        <v>20</v>
      </c>
      <c r="B113" s="27">
        <f t="shared" si="160"/>
        <v>19.701318436641721</v>
      </c>
      <c r="C113" s="26" t="e">
        <f t="shared" si="161"/>
        <v>#NUM!</v>
      </c>
      <c r="D113" s="26" t="e">
        <f t="shared" si="162"/>
        <v>#NUM!</v>
      </c>
      <c r="E113" s="26">
        <f t="shared" si="163"/>
        <v>1.3010299956639813</v>
      </c>
      <c r="F113" s="26">
        <f t="shared" si="164"/>
        <v>1.2944952906589839</v>
      </c>
      <c r="G113" s="29">
        <f>10^((Sheet5!$C$3*(Sheet5!$K$3*LOG10($A113)+Sheet5!$K$2)+Sheet5!$C$2-Sheet5!$D$2)/Sheet5!$D$3)</f>
        <v>12.340969515233942</v>
      </c>
      <c r="H113" s="29" cm="1">
        <f t="array" ref="H113">SUM(ABS(IFERROR(LOG10(I113:Z113)-LOG10(G113),0)))</f>
        <v>0.48594244762970717</v>
      </c>
      <c r="I113" s="26">
        <f t="shared" si="165"/>
        <v>9.7013608732834431</v>
      </c>
      <c r="K113" s="26">
        <f t="shared" si="166"/>
        <v>29.701276</v>
      </c>
    </row>
    <row r="114" spans="1:11" s="26" customFormat="1" x14ac:dyDescent="0.25">
      <c r="A114" s="26">
        <v>10</v>
      </c>
      <c r="B114" s="27">
        <f t="shared" si="160"/>
        <v>44.155615959476918</v>
      </c>
      <c r="C114" s="26" t="e">
        <f t="shared" si="161"/>
        <v>#NUM!</v>
      </c>
      <c r="D114" s="26" t="e">
        <f t="shared" si="162"/>
        <v>#NUM!</v>
      </c>
      <c r="E114" s="26">
        <f t="shared" si="163"/>
        <v>1</v>
      </c>
      <c r="F114" s="26">
        <f t="shared" si="164"/>
        <v>1.6449859474402744</v>
      </c>
      <c r="G114" s="29">
        <f>10^((Sheet5!$C$3*(Sheet5!$K$3*LOG10($A114)+Sheet5!$K$2)+Sheet5!$C$2-Sheet5!$D$2)/Sheet5!$D$3)</f>
        <v>26.00184812652137</v>
      </c>
      <c r="H114" s="29" cm="1">
        <f t="array" ref="H114">SUM(ABS(IFERROR(LOG10(I114:Z114)-LOG10(G114),0)))</f>
        <v>0.3824431553815375</v>
      </c>
      <c r="I114" s="26">
        <f t="shared" si="165"/>
        <v>26.302679918953825</v>
      </c>
      <c r="K114" s="26">
        <f t="shared" si="166"/>
        <v>62.008552000000002</v>
      </c>
    </row>
    <row r="115" spans="1:11" s="26" customFormat="1" x14ac:dyDescent="0.25">
      <c r="A115" s="26">
        <v>5</v>
      </c>
      <c r="B115" s="27">
        <f t="shared" si="160"/>
        <v>120.6168890425068</v>
      </c>
      <c r="C115" s="26" t="e">
        <f t="shared" si="161"/>
        <v>#NUM!</v>
      </c>
      <c r="D115" s="26" t="e">
        <f t="shared" si="162"/>
        <v>#NUM!</v>
      </c>
      <c r="E115" s="26">
        <f t="shared" si="163"/>
        <v>0.69897000433601886</v>
      </c>
      <c r="F115" s="26">
        <f t="shared" si="164"/>
        <v>2.0814081229320154</v>
      </c>
      <c r="G115" s="29">
        <f>10^((Sheet5!$C$3*(Sheet5!$K$3*LOG10($A115)+Sheet5!$K$2)+Sheet5!$C$2-Sheet5!$D$2)/Sheet5!$D$3)</f>
        <v>54.784683258482623</v>
      </c>
      <c r="H115" s="29" cm="1">
        <f t="array" ref="H115">SUM(ABS(IFERROR(LOG10(I115:Z115)-LOG10(G115),0)))</f>
        <v>0.68441971215079667</v>
      </c>
      <c r="I115" s="26">
        <f t="shared" si="165"/>
        <v>114.61067408501358</v>
      </c>
      <c r="K115" s="26">
        <f t="shared" si="166"/>
        <v>126.62310400000001</v>
      </c>
    </row>
    <row r="116" spans="1:11" s="28" customFormat="1" ht="15.75" thickBot="1" x14ac:dyDescent="0.3">
      <c r="B116" s="32"/>
      <c r="F116" s="28">
        <f>CORREL(F111:F115,E111:E115)</f>
        <v>-0.99895536073605751</v>
      </c>
      <c r="G116" s="30"/>
      <c r="H116" s="30"/>
    </row>
    <row r="117" spans="1:11" s="26" customFormat="1" x14ac:dyDescent="0.25">
      <c r="E117" s="26">
        <f>INTERCEPT(F119:F129,E119:E129)</f>
        <v>-0.2588653972084633</v>
      </c>
      <c r="F117" s="26">
        <f>SLOPE(F119:F129,E119:E129)</f>
        <v>1.3695184385465089</v>
      </c>
      <c r="G117" s="29" t="s">
        <v>139</v>
      </c>
      <c r="H117" s="29">
        <f>SUM(H119:H129)/11</f>
        <v>0.94312746724860197</v>
      </c>
      <c r="I117" s="70" t="s">
        <v>189</v>
      </c>
      <c r="J117" s="53" t="s">
        <v>225</v>
      </c>
    </row>
    <row r="118" spans="1:11" s="26" customFormat="1" x14ac:dyDescent="0.25">
      <c r="A118" s="26" t="s">
        <v>176</v>
      </c>
      <c r="B118" s="26" t="s">
        <v>4</v>
      </c>
      <c r="E118" s="26" t="s">
        <v>137</v>
      </c>
      <c r="F118" s="26" t="s">
        <v>138</v>
      </c>
      <c r="G118" s="29" t="s">
        <v>361</v>
      </c>
      <c r="H118" s="29" t="s">
        <v>360</v>
      </c>
      <c r="I118" s="26" t="s">
        <v>186</v>
      </c>
      <c r="J118" s="26" t="s">
        <v>186</v>
      </c>
    </row>
    <row r="119" spans="1:11" s="26" customFormat="1" x14ac:dyDescent="0.25">
      <c r="A119" s="26">
        <v>100</v>
      </c>
      <c r="B119" s="27">
        <f>MEDIAN(I119:Z119)</f>
        <v>557.39082969263575</v>
      </c>
      <c r="C119" s="26" t="e">
        <f>_xlfn.PERCENTILE.EXC(I119:Z119,0.2)</f>
        <v>#NUM!</v>
      </c>
      <c r="D119" s="26" t="e">
        <f>_xlfn.PERCENTILE.EXC(I119:Z119,0.8)</f>
        <v>#NUM!</v>
      </c>
      <c r="E119" s="26">
        <f>LOG10(A119)</f>
        <v>2</v>
      </c>
      <c r="F119" s="26">
        <f>LOG10(B119)</f>
        <v>2.7461598193348618</v>
      </c>
      <c r="G119" s="29">
        <f>10^(Sheet5!$K$3*LOG10($A119)+Sheet5!$K$2)</f>
        <v>107.50502222703217</v>
      </c>
      <c r="H119" s="29" cm="1">
        <f t="array" ref="H119">SUM(ABS(IFERROR(LOG10(I119:Z119)-LOG10(G119),0)))</f>
        <v>1.048632699581612</v>
      </c>
      <c r="I119" s="26">
        <f>10^(-1.05+2.03*LOG10($A119))</f>
        <v>1023.2929922807547</v>
      </c>
      <c r="J119" s="26">
        <f>0.8109*$A119^1.0262</f>
        <v>91.488667104516864</v>
      </c>
    </row>
    <row r="120" spans="1:11" s="26" customFormat="1" x14ac:dyDescent="0.25">
      <c r="A120" s="26">
        <v>50</v>
      </c>
      <c r="B120" s="27">
        <f t="shared" ref="B120:B129" si="167">MEDIAN(I120:Z120)</f>
        <v>147.73978758882316</v>
      </c>
      <c r="C120" s="26" t="e">
        <f t="shared" ref="C120:C129" si="168">_xlfn.PERCENTILE.EXC(I120:Z120,0.2)</f>
        <v>#NUM!</v>
      </c>
      <c r="D120" s="26" t="e">
        <f t="shared" ref="D120:D129" si="169">_xlfn.PERCENTILE.EXC(I120:Z120,0.8)</f>
        <v>#NUM!</v>
      </c>
      <c r="E120" s="26">
        <f t="shared" ref="E120:E129" si="170">LOG10(A120)</f>
        <v>1.6989700043360187</v>
      </c>
      <c r="F120" s="26">
        <f t="shared" ref="F120:F129" si="171">LOG10(B120)</f>
        <v>2.169497470283531</v>
      </c>
      <c r="G120" s="29">
        <f>10^(Sheet5!$K$3*LOG10($A120)+Sheet5!$K$2)</f>
        <v>46.745683749165124</v>
      </c>
      <c r="H120" s="29" cm="1">
        <f t="array" ref="H120">SUM(ABS(IFERROR(LOG10(I120:Z120)-LOG10(G120),0)))</f>
        <v>0.7464587899341073</v>
      </c>
      <c r="I120" s="26">
        <f t="shared" ref="I120:I129" si="172">10^(-1.05+2.03*LOG10($A120))</f>
        <v>250.55848175455793</v>
      </c>
      <c r="J120" s="26">
        <f t="shared" ref="J120:J129" si="173">0.8109*$A120^1.0262</f>
        <v>44.921093423088436</v>
      </c>
    </row>
    <row r="121" spans="1:11" s="26" customFormat="1" x14ac:dyDescent="0.25">
      <c r="A121" s="26">
        <v>20</v>
      </c>
      <c r="B121" s="27">
        <f t="shared" si="167"/>
        <v>28.272284726540196</v>
      </c>
      <c r="C121" s="26" t="e">
        <f t="shared" si="168"/>
        <v>#NUM!</v>
      </c>
      <c r="D121" s="26" t="e">
        <f t="shared" si="169"/>
        <v>#NUM!</v>
      </c>
      <c r="E121" s="26">
        <f t="shared" si="170"/>
        <v>1.3010299956639813</v>
      </c>
      <c r="F121" s="26">
        <f t="shared" si="171"/>
        <v>1.4513609059085364</v>
      </c>
      <c r="G121" s="29">
        <f>10^(Sheet5!$K$3*LOG10($A121)+Sheet5!$K$2)</f>
        <v>15.545940343475964</v>
      </c>
      <c r="H121" s="29" cm="1">
        <f t="array" ref="H121">SUM(ABS(IFERROR(LOG10(I121:Z121)-LOG10(G121),0)))</f>
        <v>0.45194117957436064</v>
      </c>
      <c r="I121" s="26">
        <f t="shared" si="172"/>
        <v>39.002360411534255</v>
      </c>
      <c r="J121" s="26">
        <f t="shared" si="173"/>
        <v>17.542209041546137</v>
      </c>
    </row>
    <row r="122" spans="1:11" s="26" customFormat="1" x14ac:dyDescent="0.25">
      <c r="A122" s="26">
        <v>10</v>
      </c>
      <c r="B122" s="27">
        <f t="shared" si="167"/>
        <v>9.0815903854094326</v>
      </c>
      <c r="C122" s="26" t="e">
        <f t="shared" si="168"/>
        <v>#NUM!</v>
      </c>
      <c r="D122" s="26" t="e">
        <f t="shared" si="169"/>
        <v>#NUM!</v>
      </c>
      <c r="E122" s="26">
        <f t="shared" si="170"/>
        <v>1</v>
      </c>
      <c r="F122" s="26">
        <f t="shared" si="171"/>
        <v>0.95816190965830095</v>
      </c>
      <c r="G122" s="29">
        <f>10^(Sheet5!$K$3*LOG10($A122)+Sheet5!$K$2)</f>
        <v>6.75973639022033</v>
      </c>
      <c r="H122" s="29" cm="1">
        <f t="array" ref="H122">SUM(ABS(IFERROR(LOG10(I122:Z122)-LOG10(G122),0)))</f>
        <v>0.25530778028213719</v>
      </c>
      <c r="I122" s="26">
        <f t="shared" si="172"/>
        <v>9.5499258602143549</v>
      </c>
      <c r="J122" s="26">
        <f t="shared" si="173"/>
        <v>8.6132549106045104</v>
      </c>
    </row>
    <row r="123" spans="1:11" s="26" customFormat="1" x14ac:dyDescent="0.25">
      <c r="A123" s="26">
        <v>5</v>
      </c>
      <c r="B123" s="27">
        <f t="shared" si="167"/>
        <v>3.2837354156534686</v>
      </c>
      <c r="C123" s="26" t="e">
        <f t="shared" si="168"/>
        <v>#NUM!</v>
      </c>
      <c r="D123" s="26" t="e">
        <f t="shared" si="169"/>
        <v>#NUM!</v>
      </c>
      <c r="E123" s="26">
        <f t="shared" si="170"/>
        <v>0.69897000433601886</v>
      </c>
      <c r="F123" s="26">
        <f t="shared" si="171"/>
        <v>0.51636815692765192</v>
      </c>
      <c r="G123" s="29">
        <f>10^(Sheet5!$K$3*LOG10($A123)+Sheet5!$K$2)</f>
        <v>2.9392905836310526</v>
      </c>
      <c r="H123" s="29" cm="1">
        <f t="array" ref="H123">SUM(ABS(IFERROR(LOG10(I123:Z123)-LOG10(G123),0)))</f>
        <v>0.25734121006589206</v>
      </c>
      <c r="I123" s="26">
        <f t="shared" si="172"/>
        <v>2.338347806986059</v>
      </c>
      <c r="J123" s="26">
        <f t="shared" si="173"/>
        <v>4.2291230243208782</v>
      </c>
    </row>
    <row r="124" spans="1:11" s="26" customFormat="1" x14ac:dyDescent="0.25">
      <c r="A124" s="26">
        <v>2</v>
      </c>
      <c r="B124" s="27">
        <f t="shared" si="167"/>
        <v>1.0077564482915542</v>
      </c>
      <c r="C124" s="26" t="e">
        <f t="shared" si="168"/>
        <v>#NUM!</v>
      </c>
      <c r="D124" s="26" t="e">
        <f t="shared" si="169"/>
        <v>#NUM!</v>
      </c>
      <c r="E124" s="26">
        <f t="shared" si="170"/>
        <v>0.3010299956639812</v>
      </c>
      <c r="F124" s="26">
        <f t="shared" si="171"/>
        <v>3.355585737001537E-3</v>
      </c>
      <c r="G124" s="29">
        <f>10^(Sheet5!$K$3*LOG10($A124)+Sheet5!$K$2)</f>
        <v>0.97750278529373424</v>
      </c>
      <c r="H124" s="29" cm="1">
        <f t="array" ref="H124">SUM(ABS(IFERROR(LOG10(I124:Z124)-LOG10(G124),0)))</f>
        <v>0.6567933907708835</v>
      </c>
      <c r="I124" s="26">
        <f t="shared" si="172"/>
        <v>0.36399120595298617</v>
      </c>
      <c r="J124" s="26">
        <f t="shared" si="173"/>
        <v>1.6515216906301222</v>
      </c>
    </row>
    <row r="125" spans="1:11" s="26" customFormat="1" x14ac:dyDescent="0.25">
      <c r="A125" s="26">
        <v>1</v>
      </c>
      <c r="B125" s="27">
        <f t="shared" si="167"/>
        <v>0.45001254690668724</v>
      </c>
      <c r="C125" s="26" t="e">
        <f t="shared" si="168"/>
        <v>#NUM!</v>
      </c>
      <c r="D125" s="26" t="e">
        <f t="shared" si="169"/>
        <v>#NUM!</v>
      </c>
      <c r="E125" s="26">
        <f t="shared" si="170"/>
        <v>0</v>
      </c>
      <c r="F125" s="26">
        <f t="shared" si="171"/>
        <v>-0.34677537738826664</v>
      </c>
      <c r="G125" s="29">
        <f>10^(Sheet5!$K$3*LOG10($A125)+Sheet5!$K$2)</f>
        <v>0.42504094337817067</v>
      </c>
      <c r="H125" s="29" cm="1">
        <f t="array" ref="H125">SUM(ABS(IFERROR(LOG10(I125:Z125)-LOG10(G125),0)))</f>
        <v>0.95896730041838796</v>
      </c>
      <c r="I125" s="26">
        <f t="shared" si="172"/>
        <v>8.9125093813374537E-2</v>
      </c>
      <c r="J125" s="26">
        <f t="shared" si="173"/>
        <v>0.81089999999999995</v>
      </c>
    </row>
    <row r="126" spans="1:11" s="26" customFormat="1" x14ac:dyDescent="0.25">
      <c r="A126" s="26">
        <v>0.7</v>
      </c>
      <c r="B126" s="27">
        <f t="shared" si="167"/>
        <v>0.30277838242534577</v>
      </c>
      <c r="C126" s="26" t="e">
        <f t="shared" si="168"/>
        <v>#NUM!</v>
      </c>
      <c r="D126" s="26" t="e">
        <f t="shared" si="169"/>
        <v>#NUM!</v>
      </c>
      <c r="E126" s="26">
        <f t="shared" si="170"/>
        <v>-0.15490195998574319</v>
      </c>
      <c r="F126" s="26">
        <f t="shared" si="171"/>
        <v>-0.51887513554095333</v>
      </c>
      <c r="G126" s="29">
        <f>10^(Sheet5!$K$3*LOG10($A126)+Sheet5!$K$2)</f>
        <v>0.27689570404286501</v>
      </c>
      <c r="H126" s="29" cm="1">
        <f t="array" ref="H126">SUM(ABS(IFERROR(LOG10(I126:Z126)-LOG10(G126),0)))</f>
        <v>1.114457887852077</v>
      </c>
      <c r="I126" s="26">
        <f t="shared" si="172"/>
        <v>4.3206493443334222E-2</v>
      </c>
      <c r="J126" s="26">
        <f t="shared" si="173"/>
        <v>0.56235027140735738</v>
      </c>
    </row>
    <row r="127" spans="1:11" s="26" customFormat="1" x14ac:dyDescent="0.25">
      <c r="A127" s="26">
        <v>0.5</v>
      </c>
      <c r="B127" s="27">
        <f t="shared" si="167"/>
        <v>0.20998801539120338</v>
      </c>
      <c r="C127" s="26" t="e">
        <f t="shared" si="168"/>
        <v>#NUM!</v>
      </c>
      <c r="D127" s="26" t="e">
        <f t="shared" si="169"/>
        <v>#NUM!</v>
      </c>
      <c r="E127" s="26">
        <f t="shared" si="170"/>
        <v>-0.3010299956639812</v>
      </c>
      <c r="F127" s="26">
        <f t="shared" si="171"/>
        <v>-0.67780549097080955</v>
      </c>
      <c r="G127" s="29">
        <f>10^(Sheet5!$K$3*LOG10($A127)+Sheet5!$K$2)</f>
        <v>0.18481768672763221</v>
      </c>
      <c r="H127" s="29" cm="1">
        <f t="array" ref="H127">SUM(ABS(IFERROR(LOG10(I127:Z127)-LOG10(G127),0)))</f>
        <v>1.2611412100658925</v>
      </c>
      <c r="I127" s="26">
        <f t="shared" si="172"/>
        <v>2.1822731476289506E-2</v>
      </c>
      <c r="J127" s="26">
        <f t="shared" si="173"/>
        <v>0.39815329930611726</v>
      </c>
    </row>
    <row r="128" spans="1:11" s="26" customFormat="1" x14ac:dyDescent="0.25">
      <c r="A128" s="26">
        <v>0.2</v>
      </c>
      <c r="B128" s="27">
        <f t="shared" si="167"/>
        <v>7.9440227092247739E-2</v>
      </c>
      <c r="C128" s="26" t="e">
        <f t="shared" si="168"/>
        <v>#NUM!</v>
      </c>
      <c r="D128" s="26" t="e">
        <f t="shared" si="169"/>
        <v>#NUM!</v>
      </c>
      <c r="E128" s="26">
        <f t="shared" si="170"/>
        <v>-0.69897000433601875</v>
      </c>
      <c r="F128" s="26">
        <f t="shared" si="171"/>
        <v>-1.0999595230125605</v>
      </c>
      <c r="G128" s="29">
        <f>10^(Sheet5!$K$3*LOG10($A128)+Sheet5!$K$2)</f>
        <v>6.1463743855031616E-2</v>
      </c>
      <c r="H128" s="29" cm="1">
        <f t="array" ref="H128">SUM(ABS(IFERROR(LOG10(I128:Z128)-LOG10(G128),0)))</f>
        <v>1.6605933907708832</v>
      </c>
      <c r="I128" s="26">
        <f t="shared" si="172"/>
        <v>3.3969635840790787E-3</v>
      </c>
      <c r="J128" s="26">
        <f t="shared" si="173"/>
        <v>0.15548349060041639</v>
      </c>
    </row>
    <row r="129" spans="1:12" s="26" customFormat="1" x14ac:dyDescent="0.25">
      <c r="A129" s="26">
        <v>0.1</v>
      </c>
      <c r="B129" s="27">
        <f t="shared" si="167"/>
        <v>3.8587212980746466E-2</v>
      </c>
      <c r="C129" s="26" t="e">
        <f t="shared" si="168"/>
        <v>#NUM!</v>
      </c>
      <c r="D129" s="26" t="e">
        <f t="shared" si="169"/>
        <v>#NUM!</v>
      </c>
      <c r="E129" s="26">
        <f t="shared" si="170"/>
        <v>-1</v>
      </c>
      <c r="F129" s="26">
        <f t="shared" si="171"/>
        <v>-1.4135565878653156</v>
      </c>
      <c r="G129" s="29">
        <f>10^(Sheet5!$K$3*LOG10($A129)+Sheet5!$K$2)</f>
        <v>2.6725865199296157E-2</v>
      </c>
      <c r="H129" s="29" cm="1">
        <f t="array" ref="H129">SUM(ABS(IFERROR(LOG10(I129:Z129)-LOG10(G129),0)))</f>
        <v>1.9627673004183883</v>
      </c>
      <c r="I129" s="26">
        <f t="shared" si="172"/>
        <v>8.3176377110267033E-4</v>
      </c>
      <c r="J129" s="26">
        <f t="shared" si="173"/>
        <v>7.6342662190390265E-2</v>
      </c>
    </row>
    <row r="130" spans="1:12" s="28" customFormat="1" ht="15.75" thickBot="1" x14ac:dyDescent="0.3">
      <c r="B130" s="32"/>
      <c r="F130" s="28">
        <f>CORREL(F119:F129,E119:E129)</f>
        <v>0.99356119430504397</v>
      </c>
      <c r="G130" s="30"/>
      <c r="H130" s="30"/>
    </row>
    <row r="131" spans="1:12" s="33" customFormat="1" x14ac:dyDescent="0.25">
      <c r="B131" s="33" t="s">
        <v>231</v>
      </c>
      <c r="E131" s="26">
        <f>INTERCEPT(F133:F143,E133:E143)</f>
        <v>0.92445204162645656</v>
      </c>
      <c r="F131" s="26">
        <f>SLOPE(F133:F143,E133:E143)</f>
        <v>0.74943837604942032</v>
      </c>
      <c r="G131" s="29" t="s">
        <v>139</v>
      </c>
      <c r="H131" s="29">
        <f>SUM(H133:H143)/11</f>
        <v>0.21472795244306511</v>
      </c>
      <c r="I131" s="53" t="s">
        <v>232</v>
      </c>
      <c r="K131" s="33" t="s">
        <v>233</v>
      </c>
      <c r="L131" s="33" t="s">
        <v>235</v>
      </c>
    </row>
    <row r="132" spans="1:12" s="26" customFormat="1" x14ac:dyDescent="0.25">
      <c r="A132" s="26" t="s">
        <v>188</v>
      </c>
      <c r="B132" s="26" t="s">
        <v>366</v>
      </c>
      <c r="E132" s="26" t="s">
        <v>137</v>
      </c>
      <c r="F132" s="26" t="s">
        <v>138</v>
      </c>
      <c r="G132" s="29" t="s">
        <v>361</v>
      </c>
      <c r="H132" s="29" t="s">
        <v>360</v>
      </c>
      <c r="I132" s="26" t="s">
        <v>234</v>
      </c>
      <c r="J132" s="26" t="s">
        <v>234</v>
      </c>
      <c r="K132" s="26" t="s">
        <v>234</v>
      </c>
    </row>
    <row r="133" spans="1:12" s="26" customFormat="1" x14ac:dyDescent="0.25">
      <c r="A133" s="26">
        <v>2</v>
      </c>
      <c r="B133" s="27">
        <f>MEDIAN(I133:S133)</f>
        <v>13.677520244156149</v>
      </c>
      <c r="C133" s="26">
        <f>_xlfn.PERCENTILE.EXC(I133:S133,0.2)</f>
        <v>11.446107424603762</v>
      </c>
      <c r="D133" s="26">
        <f>_xlfn.PERCENTILE.EXC(I133:S133,0.8)</f>
        <v>21.56227185021854</v>
      </c>
      <c r="E133" s="26">
        <f>LOG10(A133)</f>
        <v>0.3010299956639812</v>
      </c>
      <c r="F133" s="26">
        <f>LOG10(B133)</f>
        <v>1.1360073662511008</v>
      </c>
      <c r="G133" s="29">
        <f>10^((Sheet5!$D$3*((LOG10($A133)-Sheet5!$M$2)/Sheet5!$M$3)+Sheet5!$D$2-Sheet5!$F$2)/+Sheet5!$F$3)</f>
        <v>14.052807926173843</v>
      </c>
      <c r="H133" s="29" cm="1">
        <f t="array" ref="H133">SUM(ABS(IFERROR(LOG10(I133:Z133)-LOG10(G133),0)))</f>
        <v>0.29877819723624599</v>
      </c>
      <c r="I133" s="26">
        <f>(28.6926*$A133^0.7788)*0.271447138</f>
        <v>13.362795790261524</v>
      </c>
      <c r="J133" s="26">
        <f>((1935.48*$A133/26)^0.788)*0.271447138</f>
        <v>13.992244698050772</v>
      </c>
      <c r="K133" s="26">
        <f>((1500*$A133/26)^0.788)*0.271447138</f>
        <v>11.446107424603762</v>
      </c>
      <c r="L133" s="26">
        <f>(53.438*$A133^0.5719)*0.271447138</f>
        <v>21.56227185021854</v>
      </c>
    </row>
    <row r="134" spans="1:12" s="26" customFormat="1" x14ac:dyDescent="0.25">
      <c r="A134" s="26">
        <v>4</v>
      </c>
      <c r="B134" s="27">
        <f t="shared" ref="B134:B143" si="174">MEDIAN(I134:S134)</f>
        <v>23.54335409288138</v>
      </c>
      <c r="C134" s="26">
        <f t="shared" ref="C134:C143" si="175">_xlfn.PERCENTILE.EXC(I134:S134,0.2)</f>
        <v>19.763754662705402</v>
      </c>
      <c r="D134" s="26">
        <f t="shared" ref="D134:D143" si="176">_xlfn.PERCENTILE.EXC(I134:S134,0.8)</f>
        <v>32.051884693861119</v>
      </c>
      <c r="E134" s="26">
        <f t="shared" ref="E134:E143" si="177">LOG10(A134)</f>
        <v>0.6020599913279624</v>
      </c>
      <c r="F134" s="26">
        <f t="shared" ref="F134:F143" si="178">LOG10(B134)</f>
        <v>1.3718683344744409</v>
      </c>
      <c r="G134" s="29">
        <f>10^((Sheet5!$D$3*((LOG10($A134)-Sheet5!$M$2)/Sheet5!$M$3)+Sheet5!$D$2-Sheet5!$F$2)/+Sheet5!$F$3)</f>
        <v>23.1386296215131</v>
      </c>
      <c r="H134" s="29" cm="1">
        <f t="array" ref="H134">SUM(ABS(IFERROR(LOG10(I134:Z134)-LOG10(G134),0)))</f>
        <v>0.23274365347070214</v>
      </c>
      <c r="I134" s="26">
        <f t="shared" ref="I134:I143" si="179">(28.6926*$A134^0.7788)*0.271447138</f>
        <v>22.926591463602165</v>
      </c>
      <c r="J134" s="26">
        <f t="shared" ref="J134:J143" si="180">((1935.48*$A134/26)^0.788)*0.271447138</f>
        <v>24.160116722160595</v>
      </c>
      <c r="K134" s="26">
        <f t="shared" ref="K134:K143" si="181">((1500*$A134/26)^0.788)*0.271447138</f>
        <v>19.763754662705402</v>
      </c>
      <c r="L134" s="26">
        <f t="shared" ref="L134:L143" si="182">(53.438*$A134^0.5719)*0.271447138</f>
        <v>32.051884693861119</v>
      </c>
    </row>
    <row r="135" spans="1:12" s="26" customFormat="1" x14ac:dyDescent="0.25">
      <c r="A135" s="26">
        <v>6</v>
      </c>
      <c r="B135" s="27">
        <f t="shared" si="174"/>
        <v>32.347461279054997</v>
      </c>
      <c r="C135" s="26">
        <f t="shared" si="175"/>
        <v>27.203787032690961</v>
      </c>
      <c r="D135" s="26">
        <f t="shared" si="176"/>
        <v>40.4166359749075</v>
      </c>
      <c r="E135" s="26">
        <f t="shared" si="177"/>
        <v>0.77815125038364363</v>
      </c>
      <c r="F135" s="26">
        <f t="shared" si="178"/>
        <v>1.5098402016735877</v>
      </c>
      <c r="G135" s="29">
        <f>10^((Sheet5!$D$3*((LOG10($A135)-Sheet5!$M$2)/Sheet5!$M$3)+Sheet5!$D$2-Sheet5!$F$2)/+Sheet5!$F$3)</f>
        <v>30.976019540848768</v>
      </c>
      <c r="H135" s="29" cm="1">
        <f t="array" ref="H135">SUM(ABS(IFERROR(LOG10(I135:Z135)-LOG10(G135),0)))</f>
        <v>0.20921788230143967</v>
      </c>
      <c r="I135" s="26">
        <f t="shared" si="179"/>
        <v>31.439770325581534</v>
      </c>
      <c r="J135" s="26">
        <f t="shared" si="180"/>
        <v>33.255152232528467</v>
      </c>
      <c r="K135" s="26">
        <f t="shared" si="181"/>
        <v>27.203787032690961</v>
      </c>
      <c r="L135" s="26">
        <f t="shared" si="182"/>
        <v>40.4166359749075</v>
      </c>
    </row>
    <row r="136" spans="1:12" s="26" customFormat="1" x14ac:dyDescent="0.25">
      <c r="A136" s="26">
        <v>8</v>
      </c>
      <c r="B136" s="27">
        <f t="shared" si="174"/>
        <v>40.525997645849785</v>
      </c>
      <c r="C136" s="26">
        <f t="shared" si="175"/>
        <v>34.125662452546116</v>
      </c>
      <c r="D136" s="26">
        <f t="shared" si="176"/>
        <v>47.644483826418167</v>
      </c>
      <c r="E136" s="26">
        <f t="shared" si="177"/>
        <v>0.90308998699194354</v>
      </c>
      <c r="F136" s="26">
        <f t="shared" si="178"/>
        <v>1.6077337148655098</v>
      </c>
      <c r="G136" s="29">
        <f>10^((Sheet5!$D$3*((LOG10($A136)-Sheet5!$M$2)/Sheet5!$M$3)+Sheet5!$D$2-Sheet5!$F$2)/+Sheet5!$F$3)</f>
        <v>38.098875582321817</v>
      </c>
      <c r="H136" s="29" cm="1">
        <f t="array" ref="H136">SUM(ABS(IFERROR(LOG10(I136:Z136)-LOG10(G136),0)))</f>
        <v>0.19819953609733187</v>
      </c>
      <c r="I136" s="26">
        <f t="shared" si="179"/>
        <v>39.33522627966677</v>
      </c>
      <c r="J136" s="26">
        <f t="shared" si="180"/>
        <v>41.716769012032792</v>
      </c>
      <c r="K136" s="26">
        <f t="shared" si="181"/>
        <v>34.125662452546116</v>
      </c>
      <c r="L136" s="26">
        <f t="shared" si="182"/>
        <v>47.644483826418167</v>
      </c>
    </row>
    <row r="137" spans="1:12" s="26" customFormat="1" x14ac:dyDescent="0.25">
      <c r="A137" s="26">
        <v>10</v>
      </c>
      <c r="B137" s="27">
        <f t="shared" si="174"/>
        <v>48.268782670446846</v>
      </c>
      <c r="C137" s="26">
        <f t="shared" si="175"/>
        <v>40.686111127913385</v>
      </c>
      <c r="D137" s="26">
        <f t="shared" si="176"/>
        <v>54.12968037348886</v>
      </c>
      <c r="E137" s="26">
        <f t="shared" si="177"/>
        <v>1</v>
      </c>
      <c r="F137" s="26">
        <f t="shared" si="178"/>
        <v>1.6836663461322587</v>
      </c>
      <c r="G137" s="29">
        <f>10^((Sheet5!$D$3*((LOG10($A137)-Sheet5!$M$2)/Sheet5!$M$3)+Sheet5!$D$2-Sheet5!$F$2)/+Sheet5!$F$3)</f>
        <v>44.733572431631018</v>
      </c>
      <c r="H137" s="29" cm="1">
        <f t="array" ref="H137">SUM(ABS(IFERROR(LOG10(I137:Z137)-LOG10(G137),0)))</f>
        <v>0.18965304280826367</v>
      </c>
      <c r="I137" s="26">
        <f t="shared" si="179"/>
        <v>46.801004115708608</v>
      </c>
      <c r="J137" s="26">
        <f t="shared" si="180"/>
        <v>49.736561225185085</v>
      </c>
      <c r="K137" s="26">
        <f t="shared" si="181"/>
        <v>40.686111127913385</v>
      </c>
      <c r="L137" s="26">
        <f t="shared" si="182"/>
        <v>54.12968037348886</v>
      </c>
    </row>
    <row r="138" spans="1:12" s="26" customFormat="1" x14ac:dyDescent="0.25">
      <c r="A138" s="26">
        <v>15</v>
      </c>
      <c r="B138" s="27">
        <f t="shared" si="174"/>
        <v>66.217750858575229</v>
      </c>
      <c r="C138" s="26">
        <f t="shared" si="175"/>
        <v>56.00232957762509</v>
      </c>
      <c r="D138" s="26">
        <f t="shared" si="176"/>
        <v>68.45980646893527</v>
      </c>
      <c r="E138" s="26">
        <f t="shared" si="177"/>
        <v>1.1760912590556813</v>
      </c>
      <c r="F138" s="26">
        <f t="shared" si="178"/>
        <v>1.8209744254903724</v>
      </c>
      <c r="G138" s="29">
        <f>10^((Sheet5!$D$3*((LOG10($A138)-Sheet5!$M$2)/Sheet5!$M$3)+Sheet5!$D$2-Sheet5!$F$2)/+Sheet5!$F$3)</f>
        <v>59.885483126704003</v>
      </c>
      <c r="H138" s="29" cm="1">
        <f t="array" ref="H138">SUM(ABS(IFERROR(LOG10(I138:Z138)-LOG10(G138),0)))</f>
        <v>0.1741235560496821</v>
      </c>
      <c r="I138" s="26">
        <f t="shared" si="179"/>
        <v>64.179309983364178</v>
      </c>
      <c r="J138" s="26">
        <f t="shared" si="180"/>
        <v>68.45980646893527</v>
      </c>
      <c r="K138" s="26">
        <f t="shared" si="181"/>
        <v>56.00232957762509</v>
      </c>
      <c r="L138" s="26">
        <f t="shared" si="182"/>
        <v>68.256191733786281</v>
      </c>
    </row>
    <row r="139" spans="1:12" s="26" customFormat="1" x14ac:dyDescent="0.25">
      <c r="A139" s="26">
        <v>20</v>
      </c>
      <c r="B139" s="27">
        <f t="shared" si="174"/>
        <v>80.379658378678954</v>
      </c>
      <c r="C139" s="26">
        <f t="shared" si="175"/>
        <v>70.251858442564426</v>
      </c>
      <c r="D139" s="26">
        <f t="shared" si="176"/>
        <v>85.879081626321025</v>
      </c>
      <c r="E139" s="26">
        <f t="shared" si="177"/>
        <v>1.3010299956639813</v>
      </c>
      <c r="F139" s="26">
        <f t="shared" si="178"/>
        <v>1.9051461560663929</v>
      </c>
      <c r="G139" s="29">
        <f>10^((Sheet5!$D$3*((LOG10($A139)-Sheet5!$M$2)/Sheet5!$M$3)+Sheet5!$D$2-Sheet5!$F$2)/+Sheet5!$F$3)</f>
        <v>73.655995981755197</v>
      </c>
      <c r="H139" s="29" cm="1">
        <f t="array" ref="H139">SUM(ABS(IFERROR(LOG10(I139:Z139)-LOG10(G139),0)))</f>
        <v>0.16310520984557497</v>
      </c>
      <c r="I139" s="26">
        <f t="shared" si="179"/>
        <v>80.296632403017128</v>
      </c>
      <c r="J139" s="26">
        <f t="shared" si="180"/>
        <v>85.879081626321025</v>
      </c>
      <c r="K139" s="26">
        <f t="shared" si="181"/>
        <v>70.251858442564426</v>
      </c>
      <c r="L139" s="26">
        <f t="shared" si="182"/>
        <v>80.46268435434078</v>
      </c>
    </row>
    <row r="140" spans="1:12" s="26" customFormat="1" x14ac:dyDescent="0.25">
      <c r="A140" s="26">
        <v>40</v>
      </c>
      <c r="B140" s="27">
        <f t="shared" si="174"/>
        <v>129.53380293413196</v>
      </c>
      <c r="C140" s="26">
        <f t="shared" si="175"/>
        <v>119.60616668775253</v>
      </c>
      <c r="D140" s="26">
        <f t="shared" si="176"/>
        <v>148.28561684408774</v>
      </c>
      <c r="E140" s="26">
        <f t="shared" si="177"/>
        <v>1.6020599913279623</v>
      </c>
      <c r="F140" s="26">
        <f t="shared" si="178"/>
        <v>2.1123831160011202</v>
      </c>
      <c r="G140" s="29">
        <f>10^((Sheet5!$D$3*((LOG10($A140)-Sheet5!$M$2)/Sheet5!$M$3)+Sheet5!$D$2-Sheet5!$F$2)/+Sheet5!$F$3)</f>
        <v>121.27816870329339</v>
      </c>
      <c r="H140" s="29" cm="1">
        <f t="array" ref="H140">SUM(ABS(IFERROR(LOG10(I140:Z140)-LOG10(G140),0)))</f>
        <v>0.14878914174990321</v>
      </c>
      <c r="I140" s="26">
        <f t="shared" si="179"/>
        <v>137.76518895459265</v>
      </c>
      <c r="J140" s="26">
        <f t="shared" si="180"/>
        <v>148.28561684408774</v>
      </c>
      <c r="K140" s="26">
        <f t="shared" si="181"/>
        <v>121.30241691367128</v>
      </c>
      <c r="L140" s="26">
        <f t="shared" si="182"/>
        <v>119.60616668775253</v>
      </c>
    </row>
    <row r="141" spans="1:12" s="26" customFormat="1" x14ac:dyDescent="0.25">
      <c r="A141" s="26">
        <v>60</v>
      </c>
      <c r="B141" s="27">
        <f t="shared" si="174"/>
        <v>177.94356494901783</v>
      </c>
      <c r="C141" s="26">
        <f t="shared" si="175"/>
        <v>150.82042586715255</v>
      </c>
      <c r="D141" s="26">
        <f t="shared" si="176"/>
        <v>204.10748916297152</v>
      </c>
      <c r="E141" s="26">
        <f t="shared" si="177"/>
        <v>1.7781512503836436</v>
      </c>
      <c r="F141" s="26">
        <f t="shared" si="178"/>
        <v>2.250282287042507</v>
      </c>
      <c r="G141" s="29">
        <f>10^((Sheet5!$D$3*((LOG10($A141)-Sheet5!$M$2)/Sheet5!$M$3)+Sheet5!$D$2-Sheet5!$F$2)/+Sheet5!$F$3)</f>
        <v>162.35684589284301</v>
      </c>
      <c r="H141" s="29" cm="1">
        <f t="array" ref="H141">SUM(ABS(IFERROR(LOG10(I141:Z141)-LOG10(G141),0)))</f>
        <v>0.20936629715518551</v>
      </c>
      <c r="I141" s="26">
        <f t="shared" si="179"/>
        <v>188.92062112543138</v>
      </c>
      <c r="J141" s="26">
        <f t="shared" si="180"/>
        <v>204.10748916297152</v>
      </c>
      <c r="K141" s="26">
        <f t="shared" si="181"/>
        <v>166.96650877260427</v>
      </c>
      <c r="L141" s="26">
        <f t="shared" si="182"/>
        <v>150.82042586715255</v>
      </c>
    </row>
    <row r="142" spans="1:12" s="26" customFormat="1" x14ac:dyDescent="0.25">
      <c r="A142" s="26">
        <v>80</v>
      </c>
      <c r="B142" s="27">
        <f t="shared" si="174"/>
        <v>222.90726266240645</v>
      </c>
      <c r="C142" s="26">
        <f t="shared" si="175"/>
        <v>177.79216818990818</v>
      </c>
      <c r="D142" s="26">
        <f t="shared" si="176"/>
        <v>256.04167797821816</v>
      </c>
      <c r="E142" s="26">
        <f t="shared" si="177"/>
        <v>1.9030899869919435</v>
      </c>
      <c r="F142" s="26">
        <f t="shared" si="178"/>
        <v>2.3481242186947879</v>
      </c>
      <c r="G142" s="29">
        <f>10^((Sheet5!$D$3*((LOG10($A142)-Sheet5!$M$2)/Sheet5!$M$3)+Sheet5!$D$2-Sheet5!$F$2)/+Sheet5!$F$3)</f>
        <v>199.69038512041593</v>
      </c>
      <c r="H142" s="29" cm="1">
        <f t="array" ref="H142">SUM(ABS(IFERROR(LOG10(I142:Z142)-LOG10(G142),0)))</f>
        <v>0.25234647291318657</v>
      </c>
      <c r="I142" s="26">
        <f t="shared" si="179"/>
        <v>236.36417518029643</v>
      </c>
      <c r="J142" s="26">
        <f t="shared" si="180"/>
        <v>256.04167797821816</v>
      </c>
      <c r="K142" s="26">
        <f t="shared" si="181"/>
        <v>209.45035014451648</v>
      </c>
      <c r="L142" s="26">
        <f t="shared" si="182"/>
        <v>177.79216818990818</v>
      </c>
    </row>
    <row r="143" spans="1:12" s="26" customFormat="1" x14ac:dyDescent="0.25">
      <c r="A143" s="26">
        <v>100</v>
      </c>
      <c r="B143" s="27">
        <f t="shared" si="174"/>
        <v>265.47084900460078</v>
      </c>
      <c r="C143" s="26">
        <f t="shared" si="175"/>
        <v>201.99260153791479</v>
      </c>
      <c r="D143" s="26">
        <f t="shared" si="176"/>
        <v>305.26411547571149</v>
      </c>
      <c r="E143" s="26">
        <f t="shared" si="177"/>
        <v>2</v>
      </c>
      <c r="F143" s="26">
        <f t="shared" si="178"/>
        <v>2.4240168387451204</v>
      </c>
      <c r="G143" s="29">
        <f>10^((Sheet5!$D$3*((LOG10($A143)-Sheet5!$M$2)/Sheet5!$M$3)+Sheet5!$D$2-Sheet5!$F$2)/+Sheet5!$F$3)</f>
        <v>234.46530035729808</v>
      </c>
      <c r="H143" s="29" cm="1">
        <f t="array" ref="H143">SUM(ABS(IFERROR(LOG10(I143:Z143)-LOG10(G143),0)))</f>
        <v>0.28568448724620055</v>
      </c>
      <c r="I143" s="26">
        <f t="shared" si="179"/>
        <v>281.22580652694387</v>
      </c>
      <c r="J143" s="26">
        <f t="shared" si="180"/>
        <v>305.26411547571149</v>
      </c>
      <c r="K143" s="26">
        <f t="shared" si="181"/>
        <v>249.71589148225766</v>
      </c>
      <c r="L143" s="26">
        <f t="shared" si="182"/>
        <v>201.99260153791479</v>
      </c>
    </row>
    <row r="144" spans="1:12" s="28" customFormat="1" ht="15.75" thickBot="1" x14ac:dyDescent="0.3">
      <c r="F144" s="28">
        <f>CORREL(F133:F143,E133:E143)</f>
        <v>0.99976278705699084</v>
      </c>
      <c r="G144" s="30"/>
      <c r="H144" s="30"/>
    </row>
    <row r="145" spans="1:23" s="33" customFormat="1" x14ac:dyDescent="0.25">
      <c r="E145" s="26">
        <f>INTERCEPT(F147:F157,E147:E157)</f>
        <v>0.77310507247706695</v>
      </c>
      <c r="F145" s="26">
        <f>SLOPE(F147:F157,E147:E157)</f>
        <v>1.2212542632318888E-2</v>
      </c>
      <c r="G145" s="29" t="s">
        <v>139</v>
      </c>
      <c r="H145" s="29">
        <f>SUM(H147:H157)/11</f>
        <v>0.70667534080911198</v>
      </c>
      <c r="I145" s="58" t="s">
        <v>240</v>
      </c>
      <c r="J145" s="41" t="s">
        <v>241</v>
      </c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2"/>
      <c r="V145" s="41"/>
      <c r="W145" s="41"/>
    </row>
    <row r="146" spans="1:23" s="26" customFormat="1" x14ac:dyDescent="0.25">
      <c r="A146" s="26" t="s">
        <v>40</v>
      </c>
      <c r="B146" s="26" t="s">
        <v>188</v>
      </c>
      <c r="E146" s="26" t="s">
        <v>137</v>
      </c>
      <c r="F146" s="26" t="s">
        <v>138</v>
      </c>
      <c r="G146" s="29" t="s">
        <v>361</v>
      </c>
      <c r="H146" s="29" t="s">
        <v>360</v>
      </c>
      <c r="I146" s="36" t="s">
        <v>242</v>
      </c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</row>
    <row r="147" spans="1:23" s="26" customFormat="1" x14ac:dyDescent="0.25">
      <c r="A147" s="26">
        <v>5</v>
      </c>
      <c r="B147" s="27">
        <f>MEDIAN(I147:Z147)</f>
        <v>3.9510810037293238</v>
      </c>
      <c r="C147" s="26" t="e">
        <f>_xlfn.PERCENTILE.EXC(I147:Z147,0.2)</f>
        <v>#NUM!</v>
      </c>
      <c r="D147" s="26" t="e">
        <f>_xlfn.PERCENTILE.EXC(I147:Z147,0.8)</f>
        <v>#NUM!</v>
      </c>
      <c r="E147" s="26">
        <f>A147</f>
        <v>5</v>
      </c>
      <c r="F147" s="26">
        <f>LOG10(B147)</f>
        <v>0.59671593353162034</v>
      </c>
      <c r="G147" s="29">
        <f>10^((LOG10(Sheet5!$G$3*ATANH($A147/100)+Sheet5!$G$2)-Sheet5!$F$2)/Sheet5!$F$3)</f>
        <v>0.59729617093002541</v>
      </c>
      <c r="H147" s="29" cm="1">
        <f t="array" ref="H147">SUM(ABS(IFERROR(LOG10(I147:Z147)-LOG10(G147),0)))</f>
        <v>1.5884123319635943</v>
      </c>
      <c r="I147" s="36">
        <f>0.317*$A147+ 3.701</f>
        <v>5.2859999999999996</v>
      </c>
      <c r="J147" s="35">
        <f>0.3658*$A147^1.2224</f>
        <v>2.6161620074586476</v>
      </c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</row>
    <row r="148" spans="1:23" s="26" customFormat="1" x14ac:dyDescent="0.25">
      <c r="A148" s="26">
        <v>10</v>
      </c>
      <c r="B148" s="27">
        <f t="shared" ref="B148:B157" si="183">MEDIAN(I148:Z148)</f>
        <v>6.4877050422873008</v>
      </c>
      <c r="C148" s="26" t="e">
        <f t="shared" ref="C148:C157" si="184">_xlfn.PERCENTILE.EXC(I148:Z148,0.2)</f>
        <v>#NUM!</v>
      </c>
      <c r="D148" s="26" t="e">
        <f t="shared" ref="D148:D157" si="185">_xlfn.PERCENTILE.EXC(I148:Z148,0.8)</f>
        <v>#NUM!</v>
      </c>
      <c r="E148" s="26">
        <f t="shared" ref="E148:E157" si="186">A148</f>
        <v>10</v>
      </c>
      <c r="F148" s="26">
        <f t="shared" ref="F148:F157" si="187">LOG10(B148)</f>
        <v>0.81209109684136749</v>
      </c>
      <c r="G148" s="29">
        <f>10^((LOG10(Sheet5!$G$3*ATANH($A148/100)+Sheet5!$G$2)-Sheet5!$F$2)/Sheet5!$F$3)</f>
        <v>1.8770621934135359</v>
      </c>
      <c r="H148" s="29" cm="1">
        <f t="array" ref="H148">SUM(ABS(IFERROR(LOG10(I148:Z148)-LOG10(G148),0)))</f>
        <v>1.0757063246742731</v>
      </c>
      <c r="I148" s="36">
        <f t="shared" ref="I148:I157" si="188">0.317*$A148+ 3.701</f>
        <v>6.8710000000000004</v>
      </c>
      <c r="J148" s="35">
        <f t="shared" ref="J148:J157" si="189">0.3658*$A148^1.2224</f>
        <v>6.1044100845746012</v>
      </c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</row>
    <row r="149" spans="1:23" s="26" customFormat="1" x14ac:dyDescent="0.25">
      <c r="A149" s="26">
        <v>20</v>
      </c>
      <c r="B149" s="27">
        <f t="shared" si="183"/>
        <v>12.142349177233161</v>
      </c>
      <c r="C149" s="26" t="e">
        <f t="shared" si="184"/>
        <v>#NUM!</v>
      </c>
      <c r="D149" s="26" t="e">
        <f t="shared" si="185"/>
        <v>#NUM!</v>
      </c>
      <c r="E149" s="26">
        <f t="shared" si="186"/>
        <v>20</v>
      </c>
      <c r="F149" s="26">
        <f t="shared" si="187"/>
        <v>1.0843027177121163</v>
      </c>
      <c r="G149" s="29">
        <f>10^((LOG10(Sheet5!$G$3*ATANH($A149/100)+Sheet5!$G$2)-Sheet5!$F$2)/Sheet5!$F$3)</f>
        <v>5.9741781491774741</v>
      </c>
      <c r="H149" s="29" cm="1">
        <f t="array" ref="H149">SUM(ABS(IFERROR(LOG10(I149:Z149)-LOG10(G149),0)))</f>
        <v>0.60284339679065946</v>
      </c>
      <c r="I149" s="36">
        <f t="shared" si="188"/>
        <v>10.041</v>
      </c>
      <c r="J149" s="35">
        <f t="shared" si="189"/>
        <v>14.24369835446632</v>
      </c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</row>
    <row r="150" spans="1:23" s="26" customFormat="1" x14ac:dyDescent="0.25">
      <c r="A150" s="26">
        <v>30</v>
      </c>
      <c r="B150" s="27">
        <f t="shared" si="183"/>
        <v>18.296367199573346</v>
      </c>
      <c r="C150" s="26" t="e">
        <f t="shared" si="184"/>
        <v>#NUM!</v>
      </c>
      <c r="D150" s="26" t="e">
        <f t="shared" si="185"/>
        <v>#NUM!</v>
      </c>
      <c r="E150" s="26">
        <f t="shared" si="186"/>
        <v>30</v>
      </c>
      <c r="F150" s="26">
        <f t="shared" si="187"/>
        <v>1.2623648677742594</v>
      </c>
      <c r="G150" s="29">
        <f>10^((LOG10(Sheet5!$G$3*ATANH($A150/100)+Sheet5!$G$2)-Sheet5!$F$2)/Sheet5!$F$3)</f>
        <v>11.988167561808602</v>
      </c>
      <c r="H150" s="29" cm="1">
        <f t="array" ref="H150">SUM(ABS(IFERROR(LOG10(I150:Z150)-LOG10(G150),0)))</f>
        <v>0.33230680633966614</v>
      </c>
      <c r="I150" s="36">
        <f t="shared" si="188"/>
        <v>13.211</v>
      </c>
      <c r="J150" s="35">
        <f t="shared" si="189"/>
        <v>23.381734399146691</v>
      </c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</row>
    <row r="151" spans="1:23" s="26" customFormat="1" x14ac:dyDescent="0.25">
      <c r="A151" s="26">
        <v>40</v>
      </c>
      <c r="B151" s="27">
        <f t="shared" si="183"/>
        <v>24.808235375093588</v>
      </c>
      <c r="C151" s="26" t="e">
        <f t="shared" si="184"/>
        <v>#NUM!</v>
      </c>
      <c r="D151" s="26" t="e">
        <f t="shared" si="185"/>
        <v>#NUM!</v>
      </c>
      <c r="E151" s="26">
        <f t="shared" si="186"/>
        <v>40</v>
      </c>
      <c r="F151" s="26">
        <f t="shared" si="187"/>
        <v>1.3945958737395647</v>
      </c>
      <c r="G151" s="29">
        <f>10^((LOG10(Sheet5!$G$3*ATANH($A151/100)+Sheet5!$G$2)-Sheet5!$F$2)/Sheet5!$F$3)</f>
        <v>20.096973651616548</v>
      </c>
      <c r="H151" s="29" cm="1">
        <f t="array" ref="H151">SUM(ABS(IFERROR(LOG10(I151:Z151)-LOG10(G151),0)))</f>
        <v>0.3072614242199645</v>
      </c>
      <c r="I151" s="36">
        <f t="shared" si="188"/>
        <v>16.381</v>
      </c>
      <c r="J151" s="35">
        <f t="shared" si="189"/>
        <v>33.235470750187176</v>
      </c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</row>
    <row r="152" spans="1:23" s="26" customFormat="1" x14ac:dyDescent="0.25">
      <c r="A152" s="26">
        <v>50</v>
      </c>
      <c r="B152" s="27">
        <f t="shared" si="183"/>
        <v>31.604540105537858</v>
      </c>
      <c r="C152" s="26" t="e">
        <f t="shared" si="184"/>
        <v>#NUM!</v>
      </c>
      <c r="D152" s="26" t="e">
        <f t="shared" si="185"/>
        <v>#NUM!</v>
      </c>
      <c r="E152" s="26">
        <f t="shared" si="186"/>
        <v>50</v>
      </c>
      <c r="F152" s="26">
        <f t="shared" si="187"/>
        <v>1.4997494750599103</v>
      </c>
      <c r="G152" s="29">
        <f>10^((LOG10(Sheet5!$G$3*ATANH($A152/100)+Sheet5!$G$2)-Sheet5!$F$2)/Sheet5!$F$3)</f>
        <v>30.81853294276976</v>
      </c>
      <c r="H152" s="29" cm="1">
        <f t="array" ref="H152">SUM(ABS(IFERROR(LOG10(I152:Z152)-LOG10(G152),0)))</f>
        <v>0.34889565872548545</v>
      </c>
      <c r="I152" s="36">
        <f t="shared" si="188"/>
        <v>19.550999999999998</v>
      </c>
      <c r="J152" s="35">
        <f t="shared" si="189"/>
        <v>43.658080211075713</v>
      </c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 spans="1:23" s="26" customFormat="1" x14ac:dyDescent="0.25">
      <c r="A153" s="26">
        <v>60</v>
      </c>
      <c r="B153" s="27">
        <f t="shared" si="183"/>
        <v>38.639333431199852</v>
      </c>
      <c r="C153" s="26" t="e">
        <f t="shared" si="184"/>
        <v>#NUM!</v>
      </c>
      <c r="D153" s="26" t="e">
        <f t="shared" si="185"/>
        <v>#NUM!</v>
      </c>
      <c r="E153" s="26">
        <f t="shared" si="186"/>
        <v>60</v>
      </c>
      <c r="F153" s="26">
        <f t="shared" si="187"/>
        <v>1.5870296257753223</v>
      </c>
      <c r="G153" s="29">
        <f>10^((LOG10(Sheet5!$G$3*ATANH($A153/100)+Sheet5!$G$2)-Sheet5!$F$2)/Sheet5!$F$3)</f>
        <v>45.193395127906712</v>
      </c>
      <c r="H153" s="29" cm="1">
        <f t="array" ref="H153">SUM(ABS(IFERROR(LOG10(I153:Z153)-LOG10(G153),0)))</f>
        <v>0.38042834791700897</v>
      </c>
      <c r="I153" s="36">
        <f t="shared" si="188"/>
        <v>22.721</v>
      </c>
      <c r="J153" s="35">
        <f t="shared" si="189"/>
        <v>54.557666862399699</v>
      </c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 spans="1:23" s="26" customFormat="1" x14ac:dyDescent="0.25">
      <c r="A154" s="26">
        <v>70</v>
      </c>
      <c r="B154" s="27">
        <f t="shared" si="183"/>
        <v>45.880794381036793</v>
      </c>
      <c r="C154" s="26" t="e">
        <f t="shared" si="184"/>
        <v>#NUM!</v>
      </c>
      <c r="D154" s="26" t="e">
        <f t="shared" si="185"/>
        <v>#NUM!</v>
      </c>
      <c r="E154" s="26">
        <f t="shared" si="186"/>
        <v>70</v>
      </c>
      <c r="F154" s="26">
        <f t="shared" si="187"/>
        <v>1.6616309286781001</v>
      </c>
      <c r="G154" s="29">
        <f>10^((LOG10(Sheet5!$G$3*ATANH($A154/100)+Sheet5!$G$2)-Sheet5!$F$2)/Sheet5!$F$3)</f>
        <v>65.35854474715299</v>
      </c>
      <c r="H154" s="29" cm="1">
        <f t="array" ref="H154">SUM(ABS(IFERROR(LOG10(I154:Z154)-LOG10(G154),0)))</f>
        <v>0.40554272053950924</v>
      </c>
      <c r="I154" s="36">
        <f t="shared" si="188"/>
        <v>25.891000000000002</v>
      </c>
      <c r="J154" s="35">
        <f t="shared" si="189"/>
        <v>65.870588762073595</v>
      </c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</row>
    <row r="155" spans="1:23" s="26" customFormat="1" x14ac:dyDescent="0.25">
      <c r="A155" s="26">
        <v>80</v>
      </c>
      <c r="B155" s="27">
        <f t="shared" si="183"/>
        <v>53.305419564348384</v>
      </c>
      <c r="C155" s="26" t="e">
        <f t="shared" si="184"/>
        <v>#NUM!</v>
      </c>
      <c r="D155" s="26" t="e">
        <f t="shared" si="185"/>
        <v>#NUM!</v>
      </c>
      <c r="E155" s="26">
        <f t="shared" si="186"/>
        <v>80</v>
      </c>
      <c r="F155" s="26">
        <f t="shared" si="187"/>
        <v>1.7267713660103816</v>
      </c>
      <c r="G155" s="29">
        <f>10^((LOG10(Sheet5!$G$3*ATANH($A155/100)+Sheet5!$G$2)-Sheet5!$F$2)/Sheet5!$F$3)</f>
        <v>96.450401565495113</v>
      </c>
      <c r="H155" s="29" cm="1">
        <f t="array" ref="H155">SUM(ABS(IFERROR(LOG10(I155:Z155)-LOG10(G155),0)))</f>
        <v>0.61571662458985132</v>
      </c>
      <c r="I155" s="36">
        <f t="shared" si="188"/>
        <v>29.061</v>
      </c>
      <c r="J155" s="35">
        <f t="shared" si="189"/>
        <v>77.54983912869676</v>
      </c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</row>
    <row r="156" spans="1:23" s="26" customFormat="1" x14ac:dyDescent="0.25">
      <c r="A156" s="26">
        <v>90</v>
      </c>
      <c r="B156" s="27">
        <f t="shared" si="183"/>
        <v>60.895052482370474</v>
      </c>
      <c r="C156" s="26" t="e">
        <f t="shared" si="184"/>
        <v>#NUM!</v>
      </c>
      <c r="D156" s="26" t="e">
        <f t="shared" si="185"/>
        <v>#NUM!</v>
      </c>
      <c r="E156" s="26">
        <f t="shared" si="186"/>
        <v>90</v>
      </c>
      <c r="F156" s="26">
        <f t="shared" si="187"/>
        <v>1.7845820091043081</v>
      </c>
      <c r="G156" s="29">
        <f>10^((LOG10(Sheet5!$G$3*ATANH($A156/100)+Sheet5!$G$2)-Sheet5!$F$2)/Sheet5!$F$3)</f>
        <v>156.15486472287182</v>
      </c>
      <c r="H156" s="29" cm="1">
        <f t="array" ref="H156">SUM(ABS(IFERROR(LOG10(I156:Z156)-LOG10(G156),0)))</f>
        <v>0.92672751204047477</v>
      </c>
      <c r="I156" s="36">
        <f t="shared" si="188"/>
        <v>32.231000000000002</v>
      </c>
      <c r="J156" s="35">
        <f t="shared" si="189"/>
        <v>89.559104964740953</v>
      </c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  <row r="157" spans="1:23" s="26" customFormat="1" x14ac:dyDescent="0.25">
      <c r="A157" s="26">
        <v>95</v>
      </c>
      <c r="B157" s="27">
        <f t="shared" si="183"/>
        <v>64.747104398843675</v>
      </c>
      <c r="C157" s="26" t="e">
        <f t="shared" si="184"/>
        <v>#NUM!</v>
      </c>
      <c r="D157" s="26" t="e">
        <f t="shared" si="185"/>
        <v>#NUM!</v>
      </c>
      <c r="E157" s="26">
        <f t="shared" si="186"/>
        <v>95</v>
      </c>
      <c r="F157" s="26">
        <f t="shared" si="187"/>
        <v>1.8112203507961726</v>
      </c>
      <c r="G157" s="29">
        <f>10^((LOG10(Sheet5!$G$3*ATANH($A157/100)+Sheet5!$G$2)-Sheet5!$F$2)/Sheet5!$F$3)</f>
        <v>223.74917160346288</v>
      </c>
      <c r="H157" s="29" cm="1">
        <f t="array" ref="H157">SUM(ABS(IFERROR(LOG10(I157:Z157)-LOG10(G157),0)))</f>
        <v>1.1895876010997444</v>
      </c>
      <c r="I157" s="36">
        <f t="shared" si="188"/>
        <v>33.816000000000003</v>
      </c>
      <c r="J157" s="35">
        <f t="shared" si="189"/>
        <v>95.678208797687361</v>
      </c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</row>
    <row r="158" spans="1:23" s="28" customFormat="1" ht="15.75" thickBot="1" x14ac:dyDescent="0.3">
      <c r="B158" s="28">
        <f>CORREL(B147:B157,A147:A157)</f>
        <v>0.998776226551921</v>
      </c>
      <c r="F158" s="28">
        <f>CORREL(F147:F157,E147:E157)</f>
        <v>0.95491647126253065</v>
      </c>
      <c r="G158" s="30"/>
      <c r="H158" s="30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35"/>
      <c r="V158" s="43"/>
      <c r="W158" s="43"/>
    </row>
    <row r="159" spans="1:23" s="33" customFormat="1" x14ac:dyDescent="0.25">
      <c r="E159" s="26">
        <f>INTERCEPT(F161:F171,E161:E171)</f>
        <v>1.727247365765769</v>
      </c>
      <c r="F159" s="26">
        <f>SLOPE(F161:F171,E161:E171)</f>
        <v>7.0381449968372027E-3</v>
      </c>
      <c r="G159" s="29" t="s">
        <v>139</v>
      </c>
      <c r="H159" s="29">
        <f>SUM(H161:H171)/11</f>
        <v>0.27806044717405914</v>
      </c>
      <c r="I159" s="58" t="s">
        <v>240</v>
      </c>
      <c r="J159" s="61" t="s">
        <v>351</v>
      </c>
      <c r="K159" s="58" t="s">
        <v>409</v>
      </c>
      <c r="L159" s="41"/>
      <c r="M159" s="41"/>
      <c r="N159" s="41"/>
      <c r="O159" s="41"/>
      <c r="P159" s="41"/>
      <c r="Q159" s="41"/>
      <c r="R159" s="41"/>
      <c r="S159" s="41"/>
      <c r="T159" s="41"/>
      <c r="U159" s="42"/>
      <c r="V159" s="41"/>
      <c r="W159" s="41"/>
    </row>
    <row r="160" spans="1:23" s="26" customFormat="1" x14ac:dyDescent="0.25">
      <c r="A160" s="26" t="s">
        <v>15</v>
      </c>
      <c r="B160" s="26" t="s">
        <v>245</v>
      </c>
      <c r="E160" s="26" t="s">
        <v>137</v>
      </c>
      <c r="F160" s="26" t="s">
        <v>138</v>
      </c>
      <c r="G160" s="29" t="s">
        <v>361</v>
      </c>
      <c r="H160" s="29" t="s">
        <v>360</v>
      </c>
      <c r="I160" s="36" t="s">
        <v>244</v>
      </c>
      <c r="K160" s="36" t="s">
        <v>365</v>
      </c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r="161" spans="1:23" s="26" customFormat="1" x14ac:dyDescent="0.25">
      <c r="A161" s="26">
        <v>5</v>
      </c>
      <c r="B161" s="27">
        <f t="shared" ref="B161:B171" si="190">MEDIAN(I161:Z161)</f>
        <v>38.729343731831669</v>
      </c>
      <c r="C161" s="26" t="e">
        <f t="shared" ref="C161:C171" si="191">_xlfn.PERCENTILE.EXC(I161:Z161,0.2)</f>
        <v>#NUM!</v>
      </c>
      <c r="D161" s="26" t="e">
        <f t="shared" ref="D161:D171" si="192">_xlfn.PERCENTILE.EXC(I161:Z161,0.8)</f>
        <v>#NUM!</v>
      </c>
      <c r="E161" s="26">
        <f>A161</f>
        <v>5</v>
      </c>
      <c r="F161" s="26">
        <f>LOG10(B161)</f>
        <v>1.5880401379347293</v>
      </c>
      <c r="G161" s="29">
        <f>10^((LOG10($A161)-Sheet5!$M$2)/Sheet5!$M$3)</f>
        <v>41.50274811504611</v>
      </c>
      <c r="H161" s="29" cm="1">
        <f t="array" ref="H161">SUM(ABS(IFERROR(LOG10(I161:Z161)-LOG10(G161),0)))</f>
        <v>6.1097050954290522E-2</v>
      </c>
      <c r="I161" s="36">
        <f>(13.8*$A161+80.6)*0.271447138</f>
        <v>40.608491844799993</v>
      </c>
      <c r="K161" s="35">
        <f t="shared" ref="K161:K171" si="193">(A161/(6.1*10^-8))^(1/1.733)/1000</f>
        <v>36.850195618863346</v>
      </c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r="162" spans="1:23" s="26" customFormat="1" x14ac:dyDescent="0.25">
      <c r="A162" s="26">
        <v>10</v>
      </c>
      <c r="B162" s="27">
        <f t="shared" si="190"/>
        <v>57.155350398551768</v>
      </c>
      <c r="C162" s="26" t="e">
        <f t="shared" si="191"/>
        <v>#NUM!</v>
      </c>
      <c r="D162" s="26" t="e">
        <f t="shared" si="192"/>
        <v>#NUM!</v>
      </c>
      <c r="E162" s="26">
        <f t="shared" ref="E162:E171" si="194">A162</f>
        <v>10</v>
      </c>
      <c r="F162" s="26">
        <f t="shared" ref="F162:F171" si="195">LOG10(B162)</f>
        <v>1.7570568915957536</v>
      </c>
      <c r="G162" s="29">
        <f>10^((LOG10($A162)-Sheet5!$M$2)/Sheet5!$M$3)</f>
        <v>65.442857271756566</v>
      </c>
      <c r="H162" s="29" cm="1">
        <f t="array" ref="H162">SUM(ABS(IFERROR(LOG10(I162:Z162)-LOG10(G162),0)))</f>
        <v>0.11824472686852139</v>
      </c>
      <c r="I162" s="36">
        <f t="shared" ref="I162:I171" si="196">(13.8*$A162+80.6)*0.271447138</f>
        <v>59.338344366799994</v>
      </c>
      <c r="K162" s="35">
        <f t="shared" si="193"/>
        <v>54.972356430303542</v>
      </c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r="163" spans="1:23" s="26" customFormat="1" x14ac:dyDescent="0.25">
      <c r="A163" s="26">
        <v>20</v>
      </c>
      <c r="B163" s="27">
        <f t="shared" si="190"/>
        <v>82.006619523979268</v>
      </c>
      <c r="C163" s="26" t="e">
        <f t="shared" si="191"/>
        <v>#NUM!</v>
      </c>
      <c r="D163" s="26" t="e">
        <f t="shared" si="192"/>
        <v>#NUM!</v>
      </c>
      <c r="E163" s="26">
        <f t="shared" si="194"/>
        <v>20</v>
      </c>
      <c r="F163" s="26">
        <f t="shared" si="195"/>
        <v>1.9138489097825817</v>
      </c>
      <c r="G163" s="29">
        <f>10^((LOG10($A163)-Sheet5!$M$2)/Sheet5!$M$3)</f>
        <v>103.19238514084931</v>
      </c>
      <c r="H163" s="29" cm="1">
        <f t="array" ref="H163">SUM(ABS(IFERROR(LOG10(I163:Z163)-LOG10(G163),0)))</f>
        <v>0.2276691785278937</v>
      </c>
      <c r="I163" s="36">
        <f t="shared" si="196"/>
        <v>96.798049410800004</v>
      </c>
      <c r="J163" s="26">
        <f xml:space="preserve"> IF($A163&lt;20,-242.93 - 5.49*$A163 + 129.85*$A163^0.5, -11.25 + 2.19*$A163 + 60.23*$A163^0.5 )*6.89476/25.4</f>
        <v>81.95175487275219</v>
      </c>
      <c r="K163" s="35">
        <f t="shared" si="193"/>
        <v>82.006619523979268</v>
      </c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r="164" spans="1:23" s="26" customFormat="1" x14ac:dyDescent="0.25">
      <c r="A164" s="26">
        <v>30</v>
      </c>
      <c r="B164" s="27">
        <f t="shared" si="190"/>
        <v>104.32892858999745</v>
      </c>
      <c r="C164" s="26" t="e">
        <f t="shared" si="191"/>
        <v>#NUM!</v>
      </c>
      <c r="D164" s="26" t="e">
        <f t="shared" si="192"/>
        <v>#NUM!</v>
      </c>
      <c r="E164" s="26">
        <f t="shared" si="194"/>
        <v>30</v>
      </c>
      <c r="F164" s="26">
        <f t="shared" si="195"/>
        <v>2.0184047474008433</v>
      </c>
      <c r="G164" s="29">
        <f>10^((LOG10($A164)-Sheet5!$M$2)/Sheet5!$M$3)</f>
        <v>134.69289631342039</v>
      </c>
      <c r="H164" s="29" cm="1">
        <f t="array" ref="H164">SUM(ABS(IFERROR(LOG10(I164:Z164)-LOG10(G164),0)))</f>
        <v>0.22623038732130585</v>
      </c>
      <c r="I164" s="36">
        <f t="shared" si="196"/>
        <v>134.25775445479999</v>
      </c>
      <c r="J164" s="26">
        <f t="shared" ref="J164:J171" si="197" xml:space="preserve"> IF($A164&lt;20,-242.93 - 5.49*$A164 + 129.85*$A164^0.5, -11.25 + 2.19*$A164 + 60.23*$A164^0.5 )*6.89476/25.4</f>
        <v>104.32892858999745</v>
      </c>
      <c r="K164" s="35">
        <f t="shared" si="193"/>
        <v>103.62381120987057</v>
      </c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r="165" spans="1:23" s="26" customFormat="1" x14ac:dyDescent="0.25">
      <c r="A165" s="26">
        <v>40</v>
      </c>
      <c r="B165" s="27">
        <f t="shared" si="190"/>
        <v>124.12684391204748</v>
      </c>
      <c r="C165" s="26" t="e">
        <f t="shared" si="191"/>
        <v>#NUM!</v>
      </c>
      <c r="D165" s="26" t="e">
        <f t="shared" si="192"/>
        <v>#NUM!</v>
      </c>
      <c r="E165" s="26">
        <f t="shared" si="194"/>
        <v>40</v>
      </c>
      <c r="F165" s="26">
        <f t="shared" si="195"/>
        <v>2.09386571302311</v>
      </c>
      <c r="G165" s="29">
        <f>10^((LOG10($A165)-Sheet5!$M$2)/Sheet5!$M$3)</f>
        <v>162.71704499144883</v>
      </c>
      <c r="H165" s="29" cm="1">
        <f t="array" ref="H165">SUM(ABS(IFERROR(LOG10(I165:Z165)-LOG10(G165),0)))</f>
        <v>0.26482832442732418</v>
      </c>
      <c r="I165" s="36">
        <f t="shared" si="196"/>
        <v>171.7174594988</v>
      </c>
      <c r="J165" s="26">
        <f t="shared" si="197"/>
        <v>124.12684391204748</v>
      </c>
      <c r="K165" s="35">
        <f t="shared" si="193"/>
        <v>122.33577169421635</v>
      </c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r="166" spans="1:23" s="26" customFormat="1" x14ac:dyDescent="0.25">
      <c r="A166" s="26">
        <v>50</v>
      </c>
      <c r="B166" s="27">
        <f t="shared" si="190"/>
        <v>142.27647098262835</v>
      </c>
      <c r="C166" s="26" t="e">
        <f t="shared" si="191"/>
        <v>#NUM!</v>
      </c>
      <c r="D166" s="26" t="e">
        <f t="shared" si="192"/>
        <v>#NUM!</v>
      </c>
      <c r="E166" s="26">
        <f t="shared" si="194"/>
        <v>50</v>
      </c>
      <c r="F166" s="26">
        <f t="shared" si="195"/>
        <v>2.1531330844320831</v>
      </c>
      <c r="G166" s="29">
        <f>10^((LOG10($A166)-Sheet5!$M$2)/Sheet5!$M$3)</f>
        <v>188.41077026675478</v>
      </c>
      <c r="H166" s="29" cm="1">
        <f t="array" ref="H166">SUM(ABS(IFERROR(LOG10(I166:Z166)-LOG10(G166),0)))</f>
        <v>0.2990130696931157</v>
      </c>
      <c r="I166" s="36">
        <f t="shared" si="196"/>
        <v>209.1771645428</v>
      </c>
      <c r="J166" s="26">
        <f t="shared" si="197"/>
        <v>142.27647098262835</v>
      </c>
      <c r="K166" s="35">
        <f t="shared" si="193"/>
        <v>139.14699847693498</v>
      </c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r="167" spans="1:23" s="26" customFormat="1" x14ac:dyDescent="0.25">
      <c r="A167" s="26">
        <v>60</v>
      </c>
      <c r="B167" s="27">
        <f t="shared" si="190"/>
        <v>159.25526796982089</v>
      </c>
      <c r="C167" s="26" t="e">
        <f t="shared" si="191"/>
        <v>#NUM!</v>
      </c>
      <c r="D167" s="26" t="e">
        <f t="shared" si="192"/>
        <v>#NUM!</v>
      </c>
      <c r="E167" s="26">
        <f t="shared" si="194"/>
        <v>60</v>
      </c>
      <c r="F167" s="26">
        <f t="shared" si="195"/>
        <v>2.2020938071762042</v>
      </c>
      <c r="G167" s="29">
        <f>10^((LOG10($A167)-Sheet5!$M$2)/Sheet5!$M$3)</f>
        <v>212.38805595533708</v>
      </c>
      <c r="H167" s="29" cm="1">
        <f t="array" ref="H167">SUM(ABS(IFERROR(LOG10(I167:Z167)-LOG10(G167),0)))</f>
        <v>0.32793016470919545</v>
      </c>
      <c r="I167" s="36">
        <f t="shared" si="196"/>
        <v>246.63686958679997</v>
      </c>
      <c r="J167" s="26">
        <f t="shared" si="197"/>
        <v>159.25526796982089</v>
      </c>
      <c r="K167" s="35">
        <f t="shared" si="193"/>
        <v>154.58384925315076</v>
      </c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r="168" spans="1:23" s="26" customFormat="1" x14ac:dyDescent="0.25">
      <c r="A168" s="26">
        <v>70</v>
      </c>
      <c r="B168" s="27">
        <f t="shared" si="190"/>
        <v>175.34686692606715</v>
      </c>
      <c r="C168" s="26" t="e">
        <f t="shared" si="191"/>
        <v>#NUM!</v>
      </c>
      <c r="D168" s="26" t="e">
        <f t="shared" si="192"/>
        <v>#NUM!</v>
      </c>
      <c r="E168" s="26">
        <f t="shared" si="194"/>
        <v>70</v>
      </c>
      <c r="F168" s="26">
        <f t="shared" si="195"/>
        <v>2.2438980103722033</v>
      </c>
      <c r="G168" s="29">
        <f>10^((LOG10($A168)-Sheet5!$M$2)/Sheet5!$M$3)</f>
        <v>235.02608338347915</v>
      </c>
      <c r="H168" s="29" cm="1">
        <f t="array" ref="H168">SUM(ABS(IFERROR(LOG10(I168:Z168)-LOG10(G168),0)))</f>
        <v>0.35288935619093564</v>
      </c>
      <c r="I168" s="36">
        <f t="shared" si="196"/>
        <v>284.09657463079998</v>
      </c>
      <c r="J168" s="26">
        <f t="shared" si="197"/>
        <v>175.34686692606715</v>
      </c>
      <c r="K168" s="35">
        <f t="shared" si="193"/>
        <v>168.96419913705307</v>
      </c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r="169" spans="1:23" s="26" customFormat="1" x14ac:dyDescent="0.25">
      <c r="A169" s="26">
        <v>80</v>
      </c>
      <c r="B169" s="27">
        <f t="shared" si="190"/>
        <v>190.73606982424454</v>
      </c>
      <c r="C169" s="26" t="e">
        <f t="shared" si="191"/>
        <v>#NUM!</v>
      </c>
      <c r="D169" s="26" t="e">
        <f t="shared" si="192"/>
        <v>#NUM!</v>
      </c>
      <c r="E169" s="26">
        <f t="shared" si="194"/>
        <v>80</v>
      </c>
      <c r="F169" s="26">
        <f t="shared" si="195"/>
        <v>2.2804328296183889</v>
      </c>
      <c r="G169" s="29">
        <f>10^((LOG10($A169)-Sheet5!$M$2)/Sheet5!$M$3)</f>
        <v>256.57742763296392</v>
      </c>
      <c r="H169" s="29" cm="1">
        <f t="array" ref="H169">SUM(ABS(IFERROR(LOG10(I169:Z169)-LOG10(G169),0)))</f>
        <v>0.37478459052353941</v>
      </c>
      <c r="I169" s="36">
        <f t="shared" si="196"/>
        <v>321.55627967479995</v>
      </c>
      <c r="J169" s="26">
        <f t="shared" si="197"/>
        <v>190.73606982424454</v>
      </c>
      <c r="K169" s="35">
        <f t="shared" si="193"/>
        <v>182.49796324848211</v>
      </c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r="170" spans="1:23" s="26" customFormat="1" x14ac:dyDescent="0.25">
      <c r="A170" s="26">
        <v>90</v>
      </c>
      <c r="B170" s="27">
        <f t="shared" si="190"/>
        <v>205.55124055311063</v>
      </c>
      <c r="C170" s="26" t="e">
        <f t="shared" si="191"/>
        <v>#NUM!</v>
      </c>
      <c r="D170" s="26" t="e">
        <f t="shared" si="192"/>
        <v>#NUM!</v>
      </c>
      <c r="E170" s="26">
        <f t="shared" si="194"/>
        <v>90</v>
      </c>
      <c r="F170" s="26">
        <f t="shared" si="195"/>
        <v>2.3129201022000205</v>
      </c>
      <c r="G170" s="29">
        <f>10^((LOG10($A170)-Sheet5!$M$2)/Sheet5!$M$3)</f>
        <v>277.2216414995612</v>
      </c>
      <c r="H170" s="29" cm="1">
        <f t="array" ref="H170">SUM(ABS(IFERROR(LOG10(I170:Z170)-LOG10(G170),0)))</f>
        <v>0.39424604511079675</v>
      </c>
      <c r="I170" s="36">
        <f t="shared" si="196"/>
        <v>359.01598471879993</v>
      </c>
      <c r="J170" s="26">
        <f t="shared" si="197"/>
        <v>205.55124055311063</v>
      </c>
      <c r="K170" s="35">
        <f t="shared" si="193"/>
        <v>195.33261709952143</v>
      </c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r="171" spans="1:23" s="26" customFormat="1" x14ac:dyDescent="0.25">
      <c r="A171" s="26">
        <v>100</v>
      </c>
      <c r="B171" s="27">
        <f t="shared" si="190"/>
        <v>219.88584007874013</v>
      </c>
      <c r="C171" s="26" t="e">
        <f t="shared" si="191"/>
        <v>#NUM!</v>
      </c>
      <c r="D171" s="26" t="e">
        <f t="shared" si="192"/>
        <v>#NUM!</v>
      </c>
      <c r="E171" s="26">
        <f t="shared" si="194"/>
        <v>100</v>
      </c>
      <c r="F171" s="26">
        <f t="shared" si="195"/>
        <v>2.3421972631321899</v>
      </c>
      <c r="G171" s="29">
        <f>10^((LOG10($A171)-Sheet5!$M$2)/Sheet5!$M$3)</f>
        <v>297.09211334270327</v>
      </c>
      <c r="H171" s="29" cm="1">
        <f t="array" ref="H171">SUM(ABS(IFERROR(LOG10(I171:Z171)-LOG10(G171),0)))</f>
        <v>0.41173202458773206</v>
      </c>
      <c r="I171" s="36">
        <f t="shared" si="196"/>
        <v>396.47568976279996</v>
      </c>
      <c r="J171" s="26">
        <f t="shared" si="197"/>
        <v>219.88584007874013</v>
      </c>
      <c r="K171" s="35">
        <f t="shared" si="193"/>
        <v>207.57660218675662</v>
      </c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 spans="1:23" s="28" customFormat="1" ht="15.75" thickBot="1" x14ac:dyDescent="0.3">
      <c r="B172" s="28">
        <f>CORREL(B161:B171,A161:A171)</f>
        <v>0.99381348327929508</v>
      </c>
      <c r="F172" s="28">
        <f>CORREL(F161:F171,E161:E171)</f>
        <v>0.94141803240965738</v>
      </c>
      <c r="G172" s="30"/>
      <c r="H172" s="30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35"/>
      <c r="V172" s="43"/>
      <c r="W172" s="43"/>
    </row>
    <row r="173" spans="1:23" s="33" customFormat="1" x14ac:dyDescent="0.25">
      <c r="E173" s="26">
        <f>INTERCEPT(F175:F185,E175:E185)</f>
        <v>2.5670397193996446</v>
      </c>
      <c r="F173" s="26">
        <f>SLOPE(F175:F185,E175:E185)</f>
        <v>1.5053159111551135E-2</v>
      </c>
      <c r="G173" s="29"/>
      <c r="H173" s="29"/>
      <c r="I173" s="61" t="s">
        <v>248</v>
      </c>
      <c r="J173" s="60" t="s">
        <v>250</v>
      </c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2"/>
      <c r="V173" s="41"/>
      <c r="W173" s="41"/>
    </row>
    <row r="174" spans="1:23" s="26" customFormat="1" x14ac:dyDescent="0.25">
      <c r="A174" s="26" t="s">
        <v>247</v>
      </c>
      <c r="B174" s="26" t="s">
        <v>246</v>
      </c>
      <c r="E174" s="26" t="s">
        <v>137</v>
      </c>
      <c r="F174" s="26" t="s">
        <v>138</v>
      </c>
      <c r="G174" s="29"/>
      <c r="H174" s="29"/>
      <c r="I174" s="26" t="s">
        <v>249</v>
      </c>
      <c r="J174" s="35" t="s">
        <v>251</v>
      </c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r="175" spans="1:23" s="26" customFormat="1" x14ac:dyDescent="0.25">
      <c r="A175" s="26">
        <v>5</v>
      </c>
      <c r="B175" s="27">
        <f>MEDIAN(I175:Z175)</f>
        <v>209.45656309999998</v>
      </c>
      <c r="C175" s="26" t="e">
        <f>_xlfn.PERCENTILE.EXC(I175:Z175,0.2)</f>
        <v>#NUM!</v>
      </c>
      <c r="D175" s="26" t="e">
        <f>_xlfn.PERCENTILE.EXC(I175:Z175,0.8)</f>
        <v>#NUM!</v>
      </c>
      <c r="E175" s="26">
        <f>A175</f>
        <v>5</v>
      </c>
      <c r="F175" s="26">
        <f>LOG10(B175)</f>
        <v>2.3210939730689635</v>
      </c>
      <c r="G175" s="29"/>
      <c r="H175" s="29"/>
      <c r="I175" s="26">
        <f>$A175*70</f>
        <v>350</v>
      </c>
      <c r="J175" s="35">
        <f>(-0.0426*$A175^2+2.212*$A175)*6.89476</f>
        <v>68.913126200000008</v>
      </c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r="176" spans="1:23" s="26" customFormat="1" x14ac:dyDescent="0.25">
      <c r="A176" s="26">
        <v>10</v>
      </c>
      <c r="B176" s="27">
        <f t="shared" ref="B176:B185" si="198">MEDIAN(I176:Z176)</f>
        <v>411.57020679999999</v>
      </c>
      <c r="C176" s="26" t="e">
        <f t="shared" ref="C176:C185" si="199">_xlfn.PERCENTILE.EXC(I176:Z176,0.2)</f>
        <v>#NUM!</v>
      </c>
      <c r="D176" s="26" t="e">
        <f t="shared" ref="D176:D185" si="200">_xlfn.PERCENTILE.EXC(I176:Z176,0.8)</f>
        <v>#NUM!</v>
      </c>
      <c r="E176" s="26">
        <f t="shared" ref="E176:E185" si="201">A176</f>
        <v>10</v>
      </c>
      <c r="F176" s="26">
        <f t="shared" ref="F176:F185" si="202">LOG10(B176)</f>
        <v>2.6144439290382353</v>
      </c>
      <c r="G176" s="29"/>
      <c r="H176" s="29"/>
      <c r="I176" s="26">
        <f t="shared" ref="I176:I185" si="203">$A176*70</f>
        <v>700</v>
      </c>
      <c r="J176" s="35">
        <f t="shared" ref="J176:J178" si="204">(-0.0426*$A176^2+2.212*$A176)*6.89476</f>
        <v>123.14041359999999</v>
      </c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</row>
    <row r="177" spans="1:23" s="26" customFormat="1" x14ac:dyDescent="0.25">
      <c r="A177" s="26">
        <v>20</v>
      </c>
      <c r="B177" s="27">
        <f t="shared" si="198"/>
        <v>793.76873599999999</v>
      </c>
      <c r="C177" s="26" t="e">
        <f t="shared" si="199"/>
        <v>#NUM!</v>
      </c>
      <c r="D177" s="26" t="e">
        <f t="shared" si="200"/>
        <v>#NUM!</v>
      </c>
      <c r="E177" s="26">
        <f t="shared" si="201"/>
        <v>20</v>
      </c>
      <c r="F177" s="26">
        <f t="shared" si="202"/>
        <v>2.8996939894438185</v>
      </c>
      <c r="G177" s="29"/>
      <c r="H177" s="29"/>
      <c r="I177" s="26">
        <f t="shared" si="203"/>
        <v>1400</v>
      </c>
      <c r="J177" s="35">
        <f t="shared" si="204"/>
        <v>187.53747200000001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</row>
    <row r="178" spans="1:23" s="26" customFormat="1" x14ac:dyDescent="0.25">
      <c r="A178" s="26">
        <v>30</v>
      </c>
      <c r="B178" s="27">
        <f t="shared" si="198"/>
        <v>1146.5955876</v>
      </c>
      <c r="C178" s="26" t="e">
        <f t="shared" si="199"/>
        <v>#NUM!</v>
      </c>
      <c r="D178" s="26" t="e">
        <f t="shared" si="200"/>
        <v>#NUM!</v>
      </c>
      <c r="E178" s="26">
        <f t="shared" si="201"/>
        <v>30</v>
      </c>
      <c r="F178" s="26">
        <f t="shared" si="202"/>
        <v>3.0594102661630074</v>
      </c>
      <c r="G178" s="29"/>
      <c r="H178" s="29"/>
      <c r="I178" s="26">
        <f t="shared" si="203"/>
        <v>2100</v>
      </c>
      <c r="J178" s="35">
        <f t="shared" si="204"/>
        <v>193.1911752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</row>
    <row r="179" spans="1:23" s="26" customFormat="1" x14ac:dyDescent="0.25">
      <c r="A179" s="26">
        <v>40</v>
      </c>
      <c r="B179" s="27">
        <f t="shared" si="198"/>
        <v>2800</v>
      </c>
      <c r="C179" s="26" t="e">
        <f t="shared" si="199"/>
        <v>#NUM!</v>
      </c>
      <c r="D179" s="26" t="e">
        <f t="shared" si="200"/>
        <v>#NUM!</v>
      </c>
      <c r="E179" s="26">
        <f t="shared" si="201"/>
        <v>40</v>
      </c>
      <c r="F179" s="26">
        <f t="shared" si="202"/>
        <v>3.4471580313422194</v>
      </c>
      <c r="G179" s="29"/>
      <c r="H179" s="29"/>
      <c r="I179" s="26">
        <f t="shared" si="203"/>
        <v>2800</v>
      </c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</row>
    <row r="180" spans="1:23" s="26" customFormat="1" x14ac:dyDescent="0.25">
      <c r="A180" s="26">
        <v>50</v>
      </c>
      <c r="B180" s="27">
        <f t="shared" si="198"/>
        <v>3500</v>
      </c>
      <c r="C180" s="26" t="e">
        <f t="shared" si="199"/>
        <v>#NUM!</v>
      </c>
      <c r="D180" s="26" t="e">
        <f t="shared" si="200"/>
        <v>#NUM!</v>
      </c>
      <c r="E180" s="26">
        <f t="shared" si="201"/>
        <v>50</v>
      </c>
      <c r="F180" s="26">
        <f t="shared" si="202"/>
        <v>3.5440680443502757</v>
      </c>
      <c r="G180" s="29"/>
      <c r="H180" s="29"/>
      <c r="I180" s="26">
        <f t="shared" si="203"/>
        <v>3500</v>
      </c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</row>
    <row r="181" spans="1:23" s="26" customFormat="1" x14ac:dyDescent="0.25">
      <c r="A181" s="26">
        <v>60</v>
      </c>
      <c r="B181" s="27">
        <f t="shared" si="198"/>
        <v>4200</v>
      </c>
      <c r="C181" s="26" t="e">
        <f t="shared" si="199"/>
        <v>#NUM!</v>
      </c>
      <c r="D181" s="26" t="e">
        <f t="shared" si="200"/>
        <v>#NUM!</v>
      </c>
      <c r="E181" s="26">
        <f t="shared" si="201"/>
        <v>60</v>
      </c>
      <c r="F181" s="26">
        <f t="shared" si="202"/>
        <v>3.6232492903979003</v>
      </c>
      <c r="G181" s="29"/>
      <c r="H181" s="29"/>
      <c r="I181" s="26">
        <f t="shared" si="203"/>
        <v>4200</v>
      </c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</row>
    <row r="182" spans="1:23" s="26" customFormat="1" x14ac:dyDescent="0.25">
      <c r="A182" s="26">
        <v>70</v>
      </c>
      <c r="B182" s="27">
        <f t="shared" si="198"/>
        <v>4900</v>
      </c>
      <c r="C182" s="26" t="e">
        <f t="shared" si="199"/>
        <v>#NUM!</v>
      </c>
      <c r="D182" s="26" t="e">
        <f t="shared" si="200"/>
        <v>#NUM!</v>
      </c>
      <c r="E182" s="26">
        <f t="shared" si="201"/>
        <v>70</v>
      </c>
      <c r="F182" s="26">
        <f t="shared" si="202"/>
        <v>3.6901960800285138</v>
      </c>
      <c r="G182" s="29"/>
      <c r="H182" s="29"/>
      <c r="I182" s="26">
        <f t="shared" si="203"/>
        <v>4900</v>
      </c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</row>
    <row r="183" spans="1:23" s="26" customFormat="1" x14ac:dyDescent="0.25">
      <c r="A183" s="26">
        <v>80</v>
      </c>
      <c r="B183" s="27">
        <f t="shared" si="198"/>
        <v>5600</v>
      </c>
      <c r="C183" s="26" t="e">
        <f t="shared" si="199"/>
        <v>#NUM!</v>
      </c>
      <c r="D183" s="26" t="e">
        <f t="shared" si="200"/>
        <v>#NUM!</v>
      </c>
      <c r="E183" s="26">
        <f t="shared" si="201"/>
        <v>80</v>
      </c>
      <c r="F183" s="26">
        <f t="shared" si="202"/>
        <v>3.7481880270062002</v>
      </c>
      <c r="G183" s="29"/>
      <c r="H183" s="29"/>
      <c r="I183" s="26">
        <f t="shared" si="203"/>
        <v>5600</v>
      </c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</row>
    <row r="184" spans="1:23" s="26" customFormat="1" x14ac:dyDescent="0.25">
      <c r="A184" s="26">
        <v>90</v>
      </c>
      <c r="B184" s="27">
        <f t="shared" si="198"/>
        <v>6300</v>
      </c>
      <c r="C184" s="26" t="e">
        <f t="shared" si="199"/>
        <v>#NUM!</v>
      </c>
      <c r="D184" s="26" t="e">
        <f t="shared" si="200"/>
        <v>#NUM!</v>
      </c>
      <c r="E184" s="26">
        <f t="shared" si="201"/>
        <v>90</v>
      </c>
      <c r="F184" s="26">
        <f t="shared" si="202"/>
        <v>3.7993405494535817</v>
      </c>
      <c r="G184" s="29"/>
      <c r="H184" s="29"/>
      <c r="I184" s="26">
        <f t="shared" si="203"/>
        <v>6300</v>
      </c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</row>
    <row r="185" spans="1:23" s="26" customFormat="1" x14ac:dyDescent="0.25">
      <c r="A185" s="26">
        <v>100</v>
      </c>
      <c r="B185" s="27">
        <f t="shared" si="198"/>
        <v>7000</v>
      </c>
      <c r="C185" s="26" t="e">
        <f t="shared" si="199"/>
        <v>#NUM!</v>
      </c>
      <c r="D185" s="26" t="e">
        <f t="shared" si="200"/>
        <v>#NUM!</v>
      </c>
      <c r="E185" s="26">
        <f t="shared" si="201"/>
        <v>100</v>
      </c>
      <c r="F185" s="26">
        <f t="shared" si="202"/>
        <v>3.8450980400142569</v>
      </c>
      <c r="G185" s="29"/>
      <c r="H185" s="29"/>
      <c r="I185" s="26">
        <f t="shared" si="203"/>
        <v>7000</v>
      </c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</row>
    <row r="186" spans="1:23" s="28" customFormat="1" ht="15.75" thickBot="1" x14ac:dyDescent="0.3">
      <c r="B186" s="28">
        <f>CORREL(B175:B185,A175:A185)</f>
        <v>0.99401016499525363</v>
      </c>
      <c r="F186" s="28">
        <f>CORREL(F175:F185,E175:E185)</f>
        <v>0.93560652016969714</v>
      </c>
      <c r="G186" s="30"/>
      <c r="H186" s="30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35"/>
      <c r="V186" s="43"/>
      <c r="W186" s="43"/>
    </row>
    <row r="187" spans="1:23" s="26" customFormat="1" x14ac:dyDescent="0.25">
      <c r="E187" s="26">
        <f>INTERCEPT(F189:F199,E189:E199)</f>
        <v>0.20515701952091803</v>
      </c>
      <c r="F187" s="26">
        <f>SLOPE(F189:F199,E189:E199)</f>
        <v>0.92980479554646056</v>
      </c>
      <c r="G187" s="29"/>
      <c r="H187" s="29"/>
      <c r="I187" s="53" t="s">
        <v>252</v>
      </c>
      <c r="J187" s="64" t="s">
        <v>258</v>
      </c>
    </row>
    <row r="188" spans="1:23" s="26" customFormat="1" x14ac:dyDescent="0.25">
      <c r="A188" s="26" t="s">
        <v>257</v>
      </c>
      <c r="B188" s="26" t="s">
        <v>3</v>
      </c>
      <c r="E188" s="26" t="s">
        <v>137</v>
      </c>
      <c r="F188" s="26" t="s">
        <v>138</v>
      </c>
      <c r="G188" s="29"/>
      <c r="H188" s="29"/>
      <c r="I188" s="26" t="s">
        <v>256</v>
      </c>
      <c r="J188" s="36" t="s">
        <v>256</v>
      </c>
    </row>
    <row r="189" spans="1:23" s="26" customFormat="1" x14ac:dyDescent="0.25">
      <c r="A189" s="26">
        <v>20</v>
      </c>
      <c r="B189" s="27">
        <f>MEDIAN(I189:Z189)</f>
        <v>26.627613780558129</v>
      </c>
      <c r="C189" s="26" t="e">
        <f>_xlfn.PERCENTILE.EXC(I189:Z189,0.2)</f>
        <v>#NUM!</v>
      </c>
      <c r="D189" s="26" t="e">
        <f>_xlfn.PERCENTILE.EXC(I189:Z189,0.8)</f>
        <v>#NUM!</v>
      </c>
      <c r="E189" s="26">
        <f>LOG10(A189)</f>
        <v>1.3010299956639813</v>
      </c>
      <c r="F189" s="26">
        <f>LOG10(B189)</f>
        <v>1.425332249113761</v>
      </c>
      <c r="G189" s="29"/>
      <c r="H189" s="29"/>
      <c r="I189" s="26">
        <f>2*$A189</f>
        <v>40</v>
      </c>
      <c r="J189" s="36">
        <f>10^(0.473*LOG10($A189)+0.507)</f>
        <v>13.255227561116252</v>
      </c>
    </row>
    <row r="190" spans="1:23" s="26" customFormat="1" x14ac:dyDescent="0.25">
      <c r="A190" s="26">
        <v>40</v>
      </c>
      <c r="B190" s="27">
        <f t="shared" ref="B190:B199" si="205">MEDIAN(I190:Z190)</f>
        <v>49.199079671862073</v>
      </c>
      <c r="C190" s="26" t="e">
        <f t="shared" ref="C190:C199" si="206">_xlfn.PERCENTILE.EXC(I190:Z190,0.2)</f>
        <v>#NUM!</v>
      </c>
      <c r="D190" s="26" t="e">
        <f t="shared" ref="D190:D199" si="207">_xlfn.PERCENTILE.EXC(I190:Z190,0.8)</f>
        <v>#NUM!</v>
      </c>
      <c r="E190" s="26">
        <f t="shared" ref="E190:E199" si="208">LOG10(A190)</f>
        <v>1.6020599913279623</v>
      </c>
      <c r="F190" s="26">
        <f t="shared" ref="F190:F199" si="209">LOG10(B190)</f>
        <v>1.6919569788411368</v>
      </c>
      <c r="G190" s="29"/>
      <c r="H190" s="29"/>
      <c r="I190" s="26">
        <f t="shared" ref="I190:I199" si="210">2*$A190</f>
        <v>80</v>
      </c>
      <c r="J190" s="36">
        <f t="shared" ref="J190:J199" si="211">10^(0.473*LOG10($A190)+0.507)</f>
        <v>18.398159343724146</v>
      </c>
    </row>
    <row r="191" spans="1:23" s="26" customFormat="1" x14ac:dyDescent="0.25">
      <c r="A191" s="26">
        <v>80</v>
      </c>
      <c r="B191" s="27">
        <f t="shared" si="205"/>
        <v>92.768255606188902</v>
      </c>
      <c r="C191" s="26" t="e">
        <f t="shared" si="206"/>
        <v>#NUM!</v>
      </c>
      <c r="D191" s="26" t="e">
        <f t="shared" si="207"/>
        <v>#NUM!</v>
      </c>
      <c r="E191" s="26">
        <f t="shared" si="208"/>
        <v>1.9030899869919435</v>
      </c>
      <c r="F191" s="26">
        <f t="shared" si="209"/>
        <v>1.9673993902966314</v>
      </c>
      <c r="G191" s="29"/>
      <c r="H191" s="29"/>
      <c r="I191" s="26">
        <f t="shared" si="210"/>
        <v>160</v>
      </c>
      <c r="J191" s="36">
        <f t="shared" si="211"/>
        <v>25.536511212377807</v>
      </c>
    </row>
    <row r="192" spans="1:23" s="26" customFormat="1" x14ac:dyDescent="0.25">
      <c r="A192" s="26">
        <v>120</v>
      </c>
      <c r="B192" s="27">
        <f t="shared" si="205"/>
        <v>135.46759292129985</v>
      </c>
      <c r="C192" s="26" t="e">
        <f t="shared" si="206"/>
        <v>#NUM!</v>
      </c>
      <c r="D192" s="26" t="e">
        <f t="shared" si="207"/>
        <v>#NUM!</v>
      </c>
      <c r="E192" s="26">
        <f t="shared" si="208"/>
        <v>2.0791812460476247</v>
      </c>
      <c r="F192" s="26">
        <f t="shared" si="209"/>
        <v>2.1318354140387359</v>
      </c>
      <c r="G192" s="29"/>
      <c r="H192" s="29"/>
      <c r="I192" s="26">
        <f t="shared" si="210"/>
        <v>240</v>
      </c>
      <c r="J192" s="36">
        <f t="shared" si="211"/>
        <v>30.935185842599711</v>
      </c>
    </row>
    <row r="193" spans="1:23" s="26" customFormat="1" x14ac:dyDescent="0.25">
      <c r="A193" s="26">
        <v>160</v>
      </c>
      <c r="B193" s="27">
        <f t="shared" si="205"/>
        <v>177.72224581592019</v>
      </c>
      <c r="C193" s="26" t="e">
        <f t="shared" si="206"/>
        <v>#NUM!</v>
      </c>
      <c r="D193" s="26" t="e">
        <f t="shared" si="207"/>
        <v>#NUM!</v>
      </c>
      <c r="E193" s="26">
        <f t="shared" si="208"/>
        <v>2.2041199826559246</v>
      </c>
      <c r="F193" s="26">
        <f t="shared" si="209"/>
        <v>2.2497417926360117</v>
      </c>
      <c r="G193" s="29"/>
      <c r="H193" s="29"/>
      <c r="I193" s="26">
        <f t="shared" si="210"/>
        <v>320</v>
      </c>
      <c r="J193" s="36">
        <f t="shared" si="211"/>
        <v>35.444491631840393</v>
      </c>
    </row>
    <row r="194" spans="1:23" s="26" customFormat="1" x14ac:dyDescent="0.25">
      <c r="A194" s="26">
        <v>200</v>
      </c>
      <c r="B194" s="27">
        <f t="shared" si="205"/>
        <v>219.69505474316344</v>
      </c>
      <c r="C194" s="26" t="e">
        <f t="shared" si="206"/>
        <v>#NUM!</v>
      </c>
      <c r="D194" s="26" t="e">
        <f t="shared" si="207"/>
        <v>#NUM!</v>
      </c>
      <c r="E194" s="26">
        <f t="shared" si="208"/>
        <v>2.3010299956639813</v>
      </c>
      <c r="F194" s="26">
        <f t="shared" si="209"/>
        <v>2.3418202812176085</v>
      </c>
      <c r="G194" s="29"/>
      <c r="H194" s="29"/>
      <c r="I194" s="26">
        <f t="shared" si="210"/>
        <v>400</v>
      </c>
      <c r="J194" s="36">
        <f t="shared" si="211"/>
        <v>39.390109486326836</v>
      </c>
    </row>
    <row r="195" spans="1:23" s="26" customFormat="1" x14ac:dyDescent="0.25">
      <c r="A195" s="26">
        <v>240</v>
      </c>
      <c r="B195" s="27">
        <f t="shared" si="205"/>
        <v>261.46890635546129</v>
      </c>
      <c r="C195" s="26" t="e">
        <f t="shared" si="206"/>
        <v>#NUM!</v>
      </c>
      <c r="D195" s="26" t="e">
        <f t="shared" si="207"/>
        <v>#NUM!</v>
      </c>
      <c r="E195" s="26">
        <f t="shared" si="208"/>
        <v>2.3802112417116059</v>
      </c>
      <c r="F195" s="26">
        <f t="shared" si="209"/>
        <v>2.4174200503690932</v>
      </c>
      <c r="G195" s="29"/>
      <c r="H195" s="29"/>
      <c r="I195" s="26">
        <f t="shared" si="210"/>
        <v>480</v>
      </c>
      <c r="J195" s="36">
        <f t="shared" si="211"/>
        <v>42.937812710922586</v>
      </c>
    </row>
    <row r="196" spans="1:23" s="26" customFormat="1" x14ac:dyDescent="0.25">
      <c r="A196" s="26">
        <v>280</v>
      </c>
      <c r="B196" s="27">
        <f t="shared" si="205"/>
        <v>303.09275527519981</v>
      </c>
      <c r="C196" s="26" t="e">
        <f t="shared" si="206"/>
        <v>#NUM!</v>
      </c>
      <c r="D196" s="26" t="e">
        <f t="shared" si="207"/>
        <v>#NUM!</v>
      </c>
      <c r="E196" s="26">
        <f t="shared" si="208"/>
        <v>2.4471580313422194</v>
      </c>
      <c r="F196" s="26">
        <f t="shared" si="209"/>
        <v>2.4815755556958758</v>
      </c>
      <c r="G196" s="29"/>
      <c r="H196" s="29"/>
      <c r="I196" s="26">
        <f t="shared" si="210"/>
        <v>560</v>
      </c>
      <c r="J196" s="36">
        <f t="shared" si="211"/>
        <v>46.185510550399684</v>
      </c>
    </row>
    <row r="197" spans="1:23" s="26" customFormat="1" x14ac:dyDescent="0.25">
      <c r="A197" s="26">
        <v>320</v>
      </c>
      <c r="B197" s="27">
        <f t="shared" si="205"/>
        <v>344.59834815710178</v>
      </c>
      <c r="C197" s="26" t="e">
        <f t="shared" si="206"/>
        <v>#NUM!</v>
      </c>
      <c r="D197" s="26" t="e">
        <f t="shared" si="207"/>
        <v>#NUM!</v>
      </c>
      <c r="E197" s="26">
        <f t="shared" si="208"/>
        <v>2.5051499783199058</v>
      </c>
      <c r="F197" s="26">
        <f t="shared" si="209"/>
        <v>2.5373131913128946</v>
      </c>
      <c r="G197" s="29"/>
      <c r="H197" s="29"/>
      <c r="I197" s="26">
        <f t="shared" si="210"/>
        <v>640</v>
      </c>
      <c r="J197" s="36">
        <f t="shared" si="211"/>
        <v>49.19669631420355</v>
      </c>
    </row>
    <row r="198" spans="1:23" s="26" customFormat="1" x14ac:dyDescent="0.25">
      <c r="A198" s="26">
        <v>360</v>
      </c>
      <c r="B198" s="27">
        <f t="shared" si="205"/>
        <v>386.00764851628003</v>
      </c>
      <c r="C198" s="26" t="e">
        <f t="shared" si="206"/>
        <v>#NUM!</v>
      </c>
      <c r="D198" s="26" t="e">
        <f t="shared" si="207"/>
        <v>#NUM!</v>
      </c>
      <c r="E198" s="26">
        <f t="shared" si="208"/>
        <v>2.5563025007672873</v>
      </c>
      <c r="F198" s="26">
        <f t="shared" si="209"/>
        <v>2.5865959100487137</v>
      </c>
      <c r="G198" s="29"/>
      <c r="H198" s="29"/>
      <c r="I198" s="26">
        <f t="shared" si="210"/>
        <v>720</v>
      </c>
      <c r="J198" s="36">
        <f t="shared" si="211"/>
        <v>52.015297032560056</v>
      </c>
    </row>
    <row r="199" spans="1:23" s="26" customFormat="1" x14ac:dyDescent="0.25">
      <c r="A199" s="26">
        <v>400</v>
      </c>
      <c r="B199" s="27">
        <f t="shared" si="205"/>
        <v>427.33659258412433</v>
      </c>
      <c r="C199" s="26" t="e">
        <f t="shared" si="206"/>
        <v>#NUM!</v>
      </c>
      <c r="D199" s="26" t="e">
        <f t="shared" si="207"/>
        <v>#NUM!</v>
      </c>
      <c r="E199" s="26">
        <f t="shared" si="208"/>
        <v>2.6020599913279625</v>
      </c>
      <c r="F199" s="26">
        <f t="shared" si="209"/>
        <v>2.6307700827936413</v>
      </c>
      <c r="G199" s="29"/>
      <c r="H199" s="29"/>
      <c r="I199" s="26">
        <f t="shared" si="210"/>
        <v>800</v>
      </c>
      <c r="J199" s="36">
        <f t="shared" si="211"/>
        <v>54.673185168248679</v>
      </c>
    </row>
    <row r="200" spans="1:23" s="28" customFormat="1" ht="15.75" thickBot="1" x14ac:dyDescent="0.3">
      <c r="B200" s="32"/>
      <c r="F200" s="28">
        <f>CORREL(F189:F199,E189:E199)</f>
        <v>0.99989596175458473</v>
      </c>
      <c r="G200" s="30"/>
      <c r="H200" s="30"/>
    </row>
    <row r="201" spans="1:23" s="33" customFormat="1" x14ac:dyDescent="0.25">
      <c r="A201" s="33" t="s">
        <v>305</v>
      </c>
      <c r="E201" s="26">
        <f>INTERCEPT(F203:F213,E203:E213)</f>
        <v>1.0043150025160803</v>
      </c>
      <c r="F201" s="26">
        <f>SLOPE(F203:F213,E203:E213)</f>
        <v>0.48873905004806428</v>
      </c>
      <c r="G201" s="29" t="s">
        <v>139</v>
      </c>
      <c r="H201" s="29">
        <f>SUM(H203:H213)/11</f>
        <v>0.40458587077505559</v>
      </c>
      <c r="I201" s="58" t="s">
        <v>371</v>
      </c>
      <c r="J201" s="53" t="s">
        <v>248</v>
      </c>
      <c r="K201" s="60" t="s">
        <v>378</v>
      </c>
      <c r="L201" s="41"/>
      <c r="M201" s="41"/>
      <c r="N201" s="41"/>
      <c r="O201" s="41"/>
      <c r="P201" s="41"/>
      <c r="Q201" s="41"/>
      <c r="R201" s="41"/>
      <c r="S201" s="41"/>
      <c r="T201" s="41"/>
      <c r="U201" s="42"/>
      <c r="V201" s="41"/>
      <c r="W201" s="41"/>
    </row>
    <row r="202" spans="1:23" s="26" customFormat="1" x14ac:dyDescent="0.25">
      <c r="A202" s="26" t="s">
        <v>188</v>
      </c>
      <c r="B202" s="26" t="s">
        <v>177</v>
      </c>
      <c r="E202" s="26" t="s">
        <v>137</v>
      </c>
      <c r="F202" s="26" t="s">
        <v>138</v>
      </c>
      <c r="G202" s="29" t="s">
        <v>361</v>
      </c>
      <c r="H202" s="29" t="s">
        <v>360</v>
      </c>
      <c r="I202" s="36" t="s">
        <v>303</v>
      </c>
      <c r="J202"/>
      <c r="K202" s="35" t="s">
        <v>356</v>
      </c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</row>
    <row r="203" spans="1:23" s="26" customFormat="1" x14ac:dyDescent="0.25">
      <c r="A203" s="26">
        <v>5</v>
      </c>
      <c r="B203" s="27">
        <f>MEDIAN(I203:Z203)</f>
        <v>23.281782877002819</v>
      </c>
      <c r="C203" s="26" t="e">
        <f>_xlfn.PERCENTILE.EXC(I203:Z203,0.2)</f>
        <v>#NUM!</v>
      </c>
      <c r="D203" s="26" t="e">
        <f>_xlfn.PERCENTILE.EXC(I203:Z203,0.8)</f>
        <v>#NUM!</v>
      </c>
      <c r="E203" s="26">
        <f>LOG10(A203)</f>
        <v>0.69897000433601886</v>
      </c>
      <c r="F203" s="26">
        <f>LOG10(B203)</f>
        <v>1.3670162347405859</v>
      </c>
      <c r="G203" s="29">
        <f>10^((Sheet5!$F$3*LOG10($A203)+Sheet5!$F$2-Sheet5!$D$2)/Sheet5!$D$3)</f>
        <v>8.8462893633923017</v>
      </c>
      <c r="H203" s="29" cm="1">
        <f t="array" ref="H203">SUM(ABS(IFERROR(LOG10(I203:Z203)-LOG10(G203),0)))</f>
        <v>0.7612917453848862</v>
      </c>
      <c r="I203" s="36">
        <f>10.89+0.577*$A203</f>
        <v>13.775</v>
      </c>
      <c r="K203" s="35">
        <f>59.13*EXP(-1.33*1)*$A203^0.46</f>
        <v>32.788565754005631</v>
      </c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</row>
    <row r="204" spans="1:23" s="26" customFormat="1" x14ac:dyDescent="0.25">
      <c r="A204" s="26">
        <v>10</v>
      </c>
      <c r="B204" s="27">
        <f t="shared" ref="B204:B213" si="212">MEDIAN(I204:Z204)</f>
        <v>30.88102167572972</v>
      </c>
      <c r="C204" s="26" t="e">
        <f t="shared" ref="C204:C213" si="213">_xlfn.PERCENTILE.EXC(I204:Z204,0.2)</f>
        <v>#NUM!</v>
      </c>
      <c r="D204" s="26" t="e">
        <f t="shared" ref="D204:D213" si="214">_xlfn.PERCENTILE.EXC(I204:Z204,0.8)</f>
        <v>#NUM!</v>
      </c>
      <c r="E204" s="26">
        <f t="shared" ref="E204:E213" si="215">LOG10(A204)</f>
        <v>1</v>
      </c>
      <c r="F204" s="26">
        <f t="shared" ref="F204:F213" si="216">LOG10(B204)</f>
        <v>1.4896916602126542</v>
      </c>
      <c r="G204" s="29">
        <f>10^((Sheet5!$F$3*LOG10($A204)+Sheet5!$F$2-Sheet5!$D$2)/Sheet5!$D$3)</f>
        <v>16.660000000004167</v>
      </c>
      <c r="H204" s="29" cm="1">
        <f t="array" ref="H204">SUM(ABS(IFERROR(LOG10(I204:Z204)-LOG10(G204),0)))</f>
        <v>0.43252122099701196</v>
      </c>
      <c r="I204" s="36">
        <f t="shared" ref="I204:I213" si="217">10.89+0.577*$A204</f>
        <v>16.66</v>
      </c>
      <c r="K204" s="35">
        <f t="shared" ref="K204:K213" si="218">59.13*EXP(-1.33*1)*$A204^0.46</f>
        <v>45.102043351459443</v>
      </c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</row>
    <row r="205" spans="1:23" s="26" customFormat="1" x14ac:dyDescent="0.25">
      <c r="A205" s="26">
        <v>20</v>
      </c>
      <c r="B205" s="27">
        <f t="shared" si="212"/>
        <v>42.234873356742028</v>
      </c>
      <c r="C205" s="26" t="e">
        <f t="shared" si="213"/>
        <v>#NUM!</v>
      </c>
      <c r="D205" s="26" t="e">
        <f t="shared" si="214"/>
        <v>#NUM!</v>
      </c>
      <c r="E205" s="26">
        <f t="shared" si="215"/>
        <v>1.3010299956639813</v>
      </c>
      <c r="F205" s="26">
        <f t="shared" si="216"/>
        <v>1.6256711962681472</v>
      </c>
      <c r="G205" s="29">
        <f>10^((Sheet5!$F$3*LOG10($A205)+Sheet5!$F$2-Sheet5!$D$2)/Sheet5!$D$3)</f>
        <v>31.37536978484102</v>
      </c>
      <c r="H205" s="29" cm="1">
        <f t="array" ref="H205">SUM(ABS(IFERROR(LOG10(I205:Z205)-LOG10(G205),0)))</f>
        <v>0.44184074249024441</v>
      </c>
      <c r="I205" s="36">
        <f t="shared" si="217"/>
        <v>22.43</v>
      </c>
      <c r="K205" s="35">
        <f t="shared" si="218"/>
        <v>62.03974671348405</v>
      </c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r="206" spans="1:23" s="26" customFormat="1" x14ac:dyDescent="0.25">
      <c r="A206" s="26">
        <v>30</v>
      </c>
      <c r="B206" s="27">
        <f t="shared" si="212"/>
        <v>51.480232609360343</v>
      </c>
      <c r="C206" s="26" t="e">
        <f t="shared" si="213"/>
        <v>#NUM!</v>
      </c>
      <c r="D206" s="26" t="e">
        <f t="shared" si="214"/>
        <v>#NUM!</v>
      </c>
      <c r="E206" s="26">
        <f t="shared" si="215"/>
        <v>1.4771212547196624</v>
      </c>
      <c r="F206" s="26">
        <f t="shared" si="216"/>
        <v>1.7116405005620579</v>
      </c>
      <c r="G206" s="29">
        <f>10^((Sheet5!$F$3*LOG10($A206)+Sheet5!$F$2-Sheet5!$D$2)/Sheet5!$D$3)</f>
        <v>45.436320017773951</v>
      </c>
      <c r="H206" s="29" cm="1">
        <f t="array" ref="H206">SUM(ABS(IFERROR(LOG10(I206:Z206)-LOG10(G206),0)))</f>
        <v>0.42342288691946428</v>
      </c>
      <c r="I206" s="36">
        <f t="shared" si="217"/>
        <v>28.2</v>
      </c>
      <c r="K206" s="35">
        <f t="shared" si="218"/>
        <v>74.760465218720697</v>
      </c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</row>
    <row r="207" spans="1:23" s="26" customFormat="1" x14ac:dyDescent="0.25">
      <c r="A207" s="26">
        <v>40</v>
      </c>
      <c r="B207" s="27">
        <f t="shared" si="212"/>
        <v>59.654132995597529</v>
      </c>
      <c r="C207" s="26" t="e">
        <f t="shared" si="213"/>
        <v>#NUM!</v>
      </c>
      <c r="D207" s="26" t="e">
        <f t="shared" si="214"/>
        <v>#NUM!</v>
      </c>
      <c r="E207" s="26">
        <f t="shared" si="215"/>
        <v>1.6020599913279623</v>
      </c>
      <c r="F207" s="26">
        <f t="shared" si="216"/>
        <v>1.7756405381153517</v>
      </c>
      <c r="G207" s="29">
        <f>10^((Sheet5!$F$3*LOG10($A207)+Sheet5!$F$2-Sheet5!$D$2)/Sheet5!$D$3)</f>
        <v>59.088465134169653</v>
      </c>
      <c r="H207" s="29" cm="1">
        <f t="array" ref="H207">SUM(ABS(IFERROR(LOG10(I207:Z207)-LOG10(G207),0)))</f>
        <v>0.40004826720861542</v>
      </c>
      <c r="I207" s="36">
        <f t="shared" si="217"/>
        <v>33.97</v>
      </c>
      <c r="K207" s="35">
        <f t="shared" si="218"/>
        <v>85.338265991195058</v>
      </c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</row>
    <row r="208" spans="1:23" s="26" customFormat="1" x14ac:dyDescent="0.25">
      <c r="A208" s="26">
        <v>50</v>
      </c>
      <c r="B208" s="27">
        <f t="shared" si="212"/>
        <v>67.15162828844521</v>
      </c>
      <c r="C208" s="26" t="e">
        <f t="shared" si="213"/>
        <v>#NUM!</v>
      </c>
      <c r="D208" s="26" t="e">
        <f t="shared" si="214"/>
        <v>#NUM!</v>
      </c>
      <c r="E208" s="26">
        <f t="shared" si="215"/>
        <v>1.6989700043360187</v>
      </c>
      <c r="F208" s="26">
        <f t="shared" si="216"/>
        <v>1.8270565478776022</v>
      </c>
      <c r="G208" s="29">
        <f>10^((Sheet5!$F$3*LOG10($A208)+Sheet5!$F$2-Sheet5!$D$2)/Sheet5!$D$3)</f>
        <v>72.444463899336753</v>
      </c>
      <c r="H208" s="29" cm="1">
        <f t="array" ref="H208">SUM(ABS(IFERROR(LOG10(I208:Z208)-LOG10(G208),0)))</f>
        <v>0.37649455728855297</v>
      </c>
      <c r="I208" s="36">
        <f t="shared" si="217"/>
        <v>39.739999999999995</v>
      </c>
      <c r="K208" s="35">
        <f t="shared" si="218"/>
        <v>94.56325657689041</v>
      </c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</row>
    <row r="209" spans="1:23" s="26" customFormat="1" x14ac:dyDescent="0.25">
      <c r="A209" s="26">
        <v>60</v>
      </c>
      <c r="B209" s="27">
        <f t="shared" si="212"/>
        <v>74.17307312596607</v>
      </c>
      <c r="C209" s="26" t="e">
        <f t="shared" si="213"/>
        <v>#NUM!</v>
      </c>
      <c r="D209" s="26" t="e">
        <f t="shared" si="214"/>
        <v>#NUM!</v>
      </c>
      <c r="E209" s="26">
        <f t="shared" si="215"/>
        <v>1.7781512503836436</v>
      </c>
      <c r="F209" s="26">
        <f t="shared" si="216"/>
        <v>1.8702462729985889</v>
      </c>
      <c r="G209" s="29">
        <f>10^((Sheet5!$F$3*LOG10($A209)+Sheet5!$F$2-Sheet5!$D$2)/Sheet5!$D$3)</f>
        <v>85.569108176450882</v>
      </c>
      <c r="H209" s="29" cm="1">
        <f t="array" ref="H209">SUM(ABS(IFERROR(LOG10(I209:Z209)-LOG10(G209),0)))</f>
        <v>0.35403895773786398</v>
      </c>
      <c r="I209" s="36">
        <f t="shared" si="217"/>
        <v>45.51</v>
      </c>
      <c r="K209" s="35">
        <f t="shared" si="218"/>
        <v>102.83614625193213</v>
      </c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</row>
    <row r="210" spans="1:23" s="26" customFormat="1" x14ac:dyDescent="0.25">
      <c r="A210" s="26">
        <v>70</v>
      </c>
      <c r="B210" s="27">
        <f t="shared" si="212"/>
        <v>80.836472133490076</v>
      </c>
      <c r="C210" s="26" t="e">
        <f t="shared" si="213"/>
        <v>#NUM!</v>
      </c>
      <c r="D210" s="26" t="e">
        <f t="shared" si="214"/>
        <v>#NUM!</v>
      </c>
      <c r="E210" s="26">
        <f t="shared" si="215"/>
        <v>1.8450980400142569</v>
      </c>
      <c r="F210" s="26">
        <f t="shared" si="216"/>
        <v>1.9076073517706496</v>
      </c>
      <c r="G210" s="29">
        <f>10^((Sheet5!$F$3*LOG10($A210)+Sheet5!$F$2-Sheet5!$D$2)/Sheet5!$D$3)</f>
        <v>98.504430336450497</v>
      </c>
      <c r="H210" s="29" cm="1">
        <f t="array" ref="H210">SUM(ABS(IFERROR(LOG10(I210:Z210)-LOG10(G210),0)))</f>
        <v>0.33299329996357807</v>
      </c>
      <c r="I210" s="36">
        <f t="shared" si="217"/>
        <v>51.28</v>
      </c>
      <c r="K210" s="35">
        <f t="shared" si="218"/>
        <v>110.39294426698014</v>
      </c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</row>
    <row r="211" spans="1:23" s="26" customFormat="1" x14ac:dyDescent="0.25">
      <c r="A211" s="26">
        <v>80</v>
      </c>
      <c r="B211" s="27">
        <f t="shared" si="212"/>
        <v>87.218176779210751</v>
      </c>
      <c r="C211" s="26" t="e">
        <f t="shared" si="213"/>
        <v>#NUM!</v>
      </c>
      <c r="D211" s="26" t="e">
        <f t="shared" si="214"/>
        <v>#NUM!</v>
      </c>
      <c r="E211" s="26">
        <f t="shared" si="215"/>
        <v>1.9030899869919435</v>
      </c>
      <c r="F211" s="26">
        <f t="shared" si="216"/>
        <v>1.9406070038805845</v>
      </c>
      <c r="G211" s="29">
        <f>10^((Sheet5!$F$3*LOG10($A211)+Sheet5!$F$2-Sheet5!$D$2)/Sheet5!$D$3)</f>
        <v>111.27985855959153</v>
      </c>
      <c r="H211" s="29" cm="1">
        <f t="array" ref="H211">SUM(ABS(IFERROR(LOG10(I211:Z211)-LOG10(G211),0)))</f>
        <v>0.31336196332984123</v>
      </c>
      <c r="I211" s="36">
        <f t="shared" si="217"/>
        <v>57.05</v>
      </c>
      <c r="K211" s="35">
        <f t="shared" si="218"/>
        <v>117.3863535584215</v>
      </c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r="212" spans="1:23" s="26" customFormat="1" x14ac:dyDescent="0.25">
      <c r="A212" s="26">
        <v>90</v>
      </c>
      <c r="B212" s="27">
        <f t="shared" si="212"/>
        <v>93.370908468891884</v>
      </c>
      <c r="C212" s="26" t="e">
        <f t="shared" si="213"/>
        <v>#NUM!</v>
      </c>
      <c r="D212" s="26" t="e">
        <f t="shared" si="214"/>
        <v>#NUM!</v>
      </c>
      <c r="E212" s="26">
        <f t="shared" si="215"/>
        <v>1.954242509439325</v>
      </c>
      <c r="F212" s="26">
        <f t="shared" si="216"/>
        <v>1.9702115843729608</v>
      </c>
      <c r="G212" s="29">
        <f>10^((Sheet5!$F$3*LOG10($A212)+Sheet5!$F$2-Sheet5!$D$2)/Sheet5!$D$3)</f>
        <v>123.9171174524039</v>
      </c>
      <c r="H212" s="29" cm="1">
        <f t="array" ref="H212">SUM(ABS(IFERROR(LOG10(I212:Z212)-LOG10(G212),0)))</f>
        <v>0.29504984034738402</v>
      </c>
      <c r="I212" s="36">
        <f t="shared" si="217"/>
        <v>62.819999999999993</v>
      </c>
      <c r="K212" s="35">
        <f t="shared" si="218"/>
        <v>123.92181693778377</v>
      </c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</row>
    <row r="213" spans="1:23" s="26" customFormat="1" x14ac:dyDescent="0.25">
      <c r="A213" s="26">
        <v>100</v>
      </c>
      <c r="B213" s="27">
        <f t="shared" si="212"/>
        <v>99.332856940495461</v>
      </c>
      <c r="C213" s="26" t="e">
        <f t="shared" si="213"/>
        <v>#NUM!</v>
      </c>
      <c r="D213" s="26" t="e">
        <f t="shared" si="214"/>
        <v>#NUM!</v>
      </c>
      <c r="E213" s="26">
        <f t="shared" si="215"/>
        <v>2</v>
      </c>
      <c r="F213" s="26">
        <f t="shared" si="216"/>
        <v>1.9970929265182353</v>
      </c>
      <c r="G213" s="29">
        <f>10^((Sheet5!$F$3*LOG10($A213)+Sheet5!$F$2-Sheet5!$D$2)/Sheet5!$D$3)</f>
        <v>136.43288377585139</v>
      </c>
      <c r="H213" s="29" cm="1">
        <f t="array" ref="H213">SUM(ABS(IFERROR(LOG10(I213:Z213)-LOG10(G213),0)))</f>
        <v>0.31938109685816873</v>
      </c>
      <c r="I213" s="36">
        <f t="shared" si="217"/>
        <v>68.59</v>
      </c>
      <c r="K213" s="35">
        <f t="shared" si="218"/>
        <v>130.07571388099092</v>
      </c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</row>
    <row r="214" spans="1:23" s="28" customFormat="1" ht="15.75" thickBot="1" x14ac:dyDescent="0.3">
      <c r="B214" s="28">
        <f>CORREL(B203:B213,A203:A213)</f>
        <v>0.99277003707434208</v>
      </c>
      <c r="F214" s="28">
        <f>CORREL(F203:F213,E203:E213)</f>
        <v>0.99823601635069237</v>
      </c>
      <c r="G214" s="30"/>
      <c r="H214" s="30"/>
      <c r="J214" s="26">
        <f>A214*(0.5)^2.3</f>
        <v>0</v>
      </c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35"/>
      <c r="V214" s="43"/>
      <c r="W214" s="43"/>
    </row>
    <row r="215" spans="1:23" s="33" customFormat="1" x14ac:dyDescent="0.25">
      <c r="A215" s="33" t="s">
        <v>305</v>
      </c>
      <c r="E215" s="26">
        <f>INTERCEPT(F217:F227,E217:E227)</f>
        <v>0.25923366115169322</v>
      </c>
      <c r="F215" s="26">
        <f>SLOPE(F217:F227,E217:E227)</f>
        <v>1.1318326327723087</v>
      </c>
      <c r="G215" s="29" t="s">
        <v>139</v>
      </c>
      <c r="H215" s="29">
        <f>SUM(H217:H227)/11</f>
        <v>3.515388649506155E-2</v>
      </c>
      <c r="I215" s="58" t="s">
        <v>371</v>
      </c>
      <c r="J215" s="60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2"/>
      <c r="V215" s="41"/>
      <c r="W215" s="41"/>
    </row>
    <row r="216" spans="1:23" s="26" customFormat="1" x14ac:dyDescent="0.25">
      <c r="A216" s="26" t="s">
        <v>188</v>
      </c>
      <c r="B216" s="26" t="s">
        <v>373</v>
      </c>
      <c r="E216" s="26" t="s">
        <v>137</v>
      </c>
      <c r="F216" s="26" t="s">
        <v>138</v>
      </c>
      <c r="G216" s="29" t="s">
        <v>361</v>
      </c>
      <c r="H216" s="29" t="s">
        <v>360</v>
      </c>
      <c r="I216" s="36" t="s">
        <v>374</v>
      </c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</row>
    <row r="217" spans="1:23" s="26" customFormat="1" x14ac:dyDescent="0.25">
      <c r="A217" s="26">
        <v>5</v>
      </c>
      <c r="B217" s="27">
        <f>MEDIAN(I217:Z217)</f>
        <v>9.9387096774193555</v>
      </c>
      <c r="C217" s="26" t="e">
        <f>_xlfn.PERCENTILE.EXC(I217:Z217,0.2)</f>
        <v>#NUM!</v>
      </c>
      <c r="D217" s="26" t="e">
        <f>_xlfn.PERCENTILE.EXC(I217:Z217,0.8)</f>
        <v>#NUM!</v>
      </c>
      <c r="E217" s="26">
        <f>LOG10(A217)</f>
        <v>0.69897000433601886</v>
      </c>
      <c r="F217" s="26">
        <f>LOG10(B217)</f>
        <v>0.99733000448266795</v>
      </c>
      <c r="G217" s="29">
        <f>10^((Sheet5!$F$3*LOG10($A217)+Sheet5!$F$2-Sheet5!$E$2)/Sheet5!$E$3)</f>
        <v>9.8363837736986497</v>
      </c>
      <c r="H217" s="29" cm="1">
        <f t="array" ref="H217">SUM(ABS(IFERROR(LOG10(I217:Z217)-LOG10(G217),0)))</f>
        <v>4.4945397689581945E-3</v>
      </c>
      <c r="I217" s="36">
        <f>($A217-1.919)/0.31</f>
        <v>9.9387096774193555</v>
      </c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</row>
    <row r="218" spans="1:23" s="26" customFormat="1" x14ac:dyDescent="0.25">
      <c r="A218" s="26">
        <v>10</v>
      </c>
      <c r="B218" s="27">
        <f t="shared" ref="B218:B227" si="219">MEDIAN(I218:Z218)</f>
        <v>26.06774193548387</v>
      </c>
      <c r="C218" s="26" t="e">
        <f t="shared" ref="C218:C227" si="220">_xlfn.PERCENTILE.EXC(I218:Z218,0.2)</f>
        <v>#NUM!</v>
      </c>
      <c r="D218" s="26" t="e">
        <f t="shared" ref="D218:D227" si="221">_xlfn.PERCENTILE.EXC(I218:Z218,0.8)</f>
        <v>#NUM!</v>
      </c>
      <c r="E218" s="26">
        <f t="shared" ref="E218:E227" si="222">LOG10(A218)</f>
        <v>1</v>
      </c>
      <c r="F218" s="26">
        <f t="shared" ref="F218:F227" si="223">LOG10(B218)</f>
        <v>1.4161034129315835</v>
      </c>
      <c r="G218" s="29">
        <f>10^((Sheet5!$F$3*LOG10($A218)+Sheet5!$F$2-Sheet5!$E$2)/Sheet5!$E$3)</f>
        <v>21.942609653155984</v>
      </c>
      <c r="H218" s="29" cm="1">
        <f t="array" ref="H218">SUM(ABS(IFERROR(LOG10(I218:Z218)-LOG10(G218),0)))</f>
        <v>7.4815135610528216E-2</v>
      </c>
      <c r="I218" s="36">
        <f t="shared" ref="I218:I227" si="224">($A218-1.919)/0.31</f>
        <v>26.06774193548387</v>
      </c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</row>
    <row r="219" spans="1:23" s="26" customFormat="1" x14ac:dyDescent="0.25">
      <c r="A219" s="26">
        <v>20</v>
      </c>
      <c r="B219" s="27">
        <f t="shared" si="219"/>
        <v>58.325806451612905</v>
      </c>
      <c r="C219" s="26" t="e">
        <f t="shared" si="220"/>
        <v>#NUM!</v>
      </c>
      <c r="D219" s="26" t="e">
        <f t="shared" si="221"/>
        <v>#NUM!</v>
      </c>
      <c r="E219" s="26">
        <f t="shared" si="222"/>
        <v>1.3010299956639813</v>
      </c>
      <c r="F219" s="26">
        <f t="shared" si="223"/>
        <v>1.7658607523533014</v>
      </c>
      <c r="G219" s="29">
        <f>10^((Sheet5!$F$3*LOG10($A219)+Sheet5!$F$2-Sheet5!$E$2)/Sheet5!$E$3)</f>
        <v>48.948691863588323</v>
      </c>
      <c r="H219" s="29" cm="1">
        <f t="array" ref="H219">SUM(ABS(IFERROR(LOG10(I219:Z219)-LOG10(G219),0)))</f>
        <v>7.6119662424899648E-2</v>
      </c>
      <c r="I219" s="36">
        <f t="shared" si="224"/>
        <v>58.325806451612905</v>
      </c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</row>
    <row r="220" spans="1:23" s="26" customFormat="1" x14ac:dyDescent="0.25">
      <c r="A220" s="26">
        <v>30</v>
      </c>
      <c r="B220" s="27">
        <f t="shared" si="219"/>
        <v>90.58387096774193</v>
      </c>
      <c r="C220" s="26" t="e">
        <f t="shared" si="220"/>
        <v>#NUM!</v>
      </c>
      <c r="D220" s="26" t="e">
        <f t="shared" si="221"/>
        <v>#NUM!</v>
      </c>
      <c r="E220" s="26">
        <f t="shared" si="222"/>
        <v>1.4771212547196624</v>
      </c>
      <c r="F220" s="26">
        <f t="shared" si="223"/>
        <v>1.9570508756758069</v>
      </c>
      <c r="G220" s="29">
        <f>10^((Sheet5!$F$3*LOG10($A220)+Sheet5!$F$2-Sheet5!$E$2)/Sheet5!$E$3)</f>
        <v>78.265960353969717</v>
      </c>
      <c r="H220" s="29" cm="1">
        <f t="array" ref="H220">SUM(ABS(IFERROR(LOG10(I220:Z220)-LOG10(G220),0)))</f>
        <v>6.3477957101292448E-2</v>
      </c>
      <c r="I220" s="36">
        <f t="shared" si="224"/>
        <v>90.58387096774193</v>
      </c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</row>
    <row r="221" spans="1:23" s="26" customFormat="1" x14ac:dyDescent="0.25">
      <c r="A221" s="26">
        <v>40</v>
      </c>
      <c r="B221" s="27">
        <f t="shared" si="219"/>
        <v>122.84193548387098</v>
      </c>
      <c r="C221" s="26" t="e">
        <f t="shared" si="220"/>
        <v>#NUM!</v>
      </c>
      <c r="D221" s="26" t="e">
        <f t="shared" si="221"/>
        <v>#NUM!</v>
      </c>
      <c r="E221" s="26">
        <f t="shared" si="222"/>
        <v>1.6020599913279623</v>
      </c>
      <c r="F221" s="26">
        <f t="shared" si="223"/>
        <v>2.0893466505204858</v>
      </c>
      <c r="G221" s="29">
        <f>10^((Sheet5!$F$3*LOG10($A221)+Sheet5!$F$2-Sheet5!$E$2)/Sheet5!$E$3)</f>
        <v>109.19277483532595</v>
      </c>
      <c r="H221" s="29" cm="1">
        <f t="array" ref="H221">SUM(ABS(IFERROR(LOG10(I221:Z221)-LOG10(G221),0)))</f>
        <v>5.1152747984739122E-2</v>
      </c>
      <c r="I221" s="36">
        <f t="shared" si="224"/>
        <v>122.84193548387098</v>
      </c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</row>
    <row r="222" spans="1:23" s="26" customFormat="1" x14ac:dyDescent="0.25">
      <c r="A222" s="26">
        <v>50</v>
      </c>
      <c r="B222" s="27">
        <f t="shared" si="219"/>
        <v>155.10000000000002</v>
      </c>
      <c r="C222" s="26" t="e">
        <f t="shared" si="220"/>
        <v>#NUM!</v>
      </c>
      <c r="D222" s="26" t="e">
        <f t="shared" si="221"/>
        <v>#NUM!</v>
      </c>
      <c r="E222" s="26">
        <f t="shared" si="222"/>
        <v>1.6989700043360187</v>
      </c>
      <c r="F222" s="26">
        <f t="shared" si="223"/>
        <v>2.190611797813605</v>
      </c>
      <c r="G222" s="29">
        <f>10^((Sheet5!$F$3*LOG10($A222)+Sheet5!$F$2-Sheet5!$E$2)/Sheet5!$E$3)</f>
        <v>141.37436024884025</v>
      </c>
      <c r="H222" s="29" cm="1">
        <f t="array" ref="H222">SUM(ABS(IFERROR(LOG10(I222:Z222)-LOG10(G222),0)))</f>
        <v>4.0241145157031255E-2</v>
      </c>
      <c r="I222" s="36">
        <f t="shared" si="224"/>
        <v>155.10000000000002</v>
      </c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</row>
    <row r="223" spans="1:23" s="26" customFormat="1" x14ac:dyDescent="0.25">
      <c r="A223" s="26">
        <v>60</v>
      </c>
      <c r="B223" s="27">
        <f t="shared" si="219"/>
        <v>187.35806451612905</v>
      </c>
      <c r="C223" s="26" t="e">
        <f t="shared" si="220"/>
        <v>#NUM!</v>
      </c>
      <c r="D223" s="26" t="e">
        <f t="shared" si="221"/>
        <v>#NUM!</v>
      </c>
      <c r="E223" s="26">
        <f t="shared" si="222"/>
        <v>1.7781512503836436</v>
      </c>
      <c r="F223" s="26">
        <f t="shared" si="223"/>
        <v>2.2726723913154641</v>
      </c>
      <c r="G223" s="29">
        <f>10^((Sheet5!$F$3*LOG10($A223)+Sheet5!$F$2-Sheet5!$E$2)/Sheet5!$E$3)</f>
        <v>174.59255928673295</v>
      </c>
      <c r="H223" s="29" cm="1">
        <f t="array" ref="H223">SUM(ABS(IFERROR(LOG10(I223:Z223)-LOG10(G223),0)))</f>
        <v>3.0646660133604176E-2</v>
      </c>
      <c r="I223" s="36">
        <f t="shared" si="224"/>
        <v>187.35806451612905</v>
      </c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</row>
    <row r="224" spans="1:23" s="26" customFormat="1" x14ac:dyDescent="0.25">
      <c r="A224" s="26">
        <v>70</v>
      </c>
      <c r="B224" s="27">
        <f t="shared" si="219"/>
        <v>219.61612903225807</v>
      </c>
      <c r="C224" s="26" t="e">
        <f t="shared" si="220"/>
        <v>#NUM!</v>
      </c>
      <c r="D224" s="26" t="e">
        <f t="shared" si="221"/>
        <v>#NUM!</v>
      </c>
      <c r="E224" s="26">
        <f t="shared" si="222"/>
        <v>1.8450980400142569</v>
      </c>
      <c r="F224" s="26">
        <f t="shared" si="223"/>
        <v>2.34166423237405</v>
      </c>
      <c r="G224" s="29">
        <f>10^((Sheet5!$F$3*LOG10($A224)+Sheet5!$F$2-Sheet5!$E$2)/Sheet5!$E$3)</f>
        <v>208.69834058920361</v>
      </c>
      <c r="H224" s="29" cm="1">
        <f t="array" ref="H224">SUM(ABS(IFERROR(LOG10(I224:Z224)-LOG10(G224),0)))</f>
        <v>2.2145236474945929E-2</v>
      </c>
      <c r="I224" s="36">
        <f t="shared" si="224"/>
        <v>219.61612903225807</v>
      </c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</row>
    <row r="225" spans="1:23" s="26" customFormat="1" x14ac:dyDescent="0.25">
      <c r="A225" s="26">
        <v>80</v>
      </c>
      <c r="B225" s="27">
        <f t="shared" si="219"/>
        <v>251.8741935483871</v>
      </c>
      <c r="C225" s="26" t="e">
        <f t="shared" si="220"/>
        <v>#NUM!</v>
      </c>
      <c r="D225" s="26" t="e">
        <f t="shared" si="221"/>
        <v>#NUM!</v>
      </c>
      <c r="E225" s="26">
        <f t="shared" si="222"/>
        <v>1.9030899869919435</v>
      </c>
      <c r="F225" s="26">
        <f t="shared" si="223"/>
        <v>2.4011836729619249</v>
      </c>
      <c r="G225" s="29">
        <f>10^((Sheet5!$F$3*LOG10($A225)+Sheet5!$F$2-Sheet5!$E$2)/Sheet5!$E$3)</f>
        <v>243.58285425616225</v>
      </c>
      <c r="H225" s="29" cm="1">
        <f t="array" ref="H225">SUM(ABS(IFERROR(LOG10(I225:Z225)-LOG10(G225),0)))</f>
        <v>1.4536957818831464E-2</v>
      </c>
      <c r="I225" s="36">
        <f t="shared" si="224"/>
        <v>251.8741935483871</v>
      </c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</row>
    <row r="226" spans="1:23" s="26" customFormat="1" x14ac:dyDescent="0.25">
      <c r="A226" s="26">
        <v>90</v>
      </c>
      <c r="B226" s="27">
        <f t="shared" si="219"/>
        <v>284.13225806451612</v>
      </c>
      <c r="C226" s="26" t="e">
        <f t="shared" si="220"/>
        <v>#NUM!</v>
      </c>
      <c r="D226" s="26" t="e">
        <f t="shared" si="221"/>
        <v>#NUM!</v>
      </c>
      <c r="E226" s="26">
        <f t="shared" si="222"/>
        <v>1.954242509439325</v>
      </c>
      <c r="F226" s="26">
        <f t="shared" si="223"/>
        <v>2.4535205427835618</v>
      </c>
      <c r="G226" s="29">
        <f>10^((Sheet5!$F$3*LOG10($A226)+Sheet5!$F$2-Sheet5!$E$2)/Sheet5!$E$3)</f>
        <v>279.16280911683293</v>
      </c>
      <c r="H226" s="29" cm="1">
        <f t="array" ref="H226">SUM(ABS(IFERROR(LOG10(I226:Z226)-LOG10(G226),0)))</f>
        <v>7.6629829555883155E-3</v>
      </c>
      <c r="I226" s="36">
        <f t="shared" si="224"/>
        <v>284.13225806451612</v>
      </c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</row>
    <row r="227" spans="1:23" s="26" customFormat="1" x14ac:dyDescent="0.25">
      <c r="A227" s="26">
        <v>100</v>
      </c>
      <c r="B227" s="27">
        <f t="shared" si="219"/>
        <v>316.39032258064515</v>
      </c>
      <c r="C227" s="26" t="e">
        <f t="shared" si="220"/>
        <v>#NUM!</v>
      </c>
      <c r="D227" s="26" t="e">
        <f t="shared" si="221"/>
        <v>#NUM!</v>
      </c>
      <c r="E227" s="26">
        <f t="shared" si="222"/>
        <v>2</v>
      </c>
      <c r="F227" s="26">
        <f t="shared" si="223"/>
        <v>2.5002231912791775</v>
      </c>
      <c r="G227" s="29">
        <f>10^((Sheet5!$F$3*LOG10($A227)+Sheet5!$F$2-Sheet5!$E$2)/Sheet5!$E$3)</f>
        <v>315.37224179882753</v>
      </c>
      <c r="H227" s="29" cm="1">
        <f t="array" ref="H227">SUM(ABS(IFERROR(LOG10(I227:Z227)-LOG10(G227),0)))</f>
        <v>1.3997260152582847E-3</v>
      </c>
      <c r="I227" s="36">
        <f t="shared" si="224"/>
        <v>316.39032258064515</v>
      </c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</row>
    <row r="228" spans="1:23" s="28" customFormat="1" ht="15.75" thickBot="1" x14ac:dyDescent="0.3">
      <c r="B228" s="28">
        <f>CORREL(B217:B227,A217:A227)</f>
        <v>0.99999999999999989</v>
      </c>
      <c r="F228" s="28">
        <f>CORREL(F217:F227,E217:E227)</f>
        <v>0.99851957152632409</v>
      </c>
      <c r="G228" s="30"/>
      <c r="H228" s="30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35"/>
      <c r="V228" s="43"/>
      <c r="W228" s="43"/>
    </row>
    <row r="229" spans="1:23" s="33" customFormat="1" x14ac:dyDescent="0.25">
      <c r="A229" s="33" t="s">
        <v>305</v>
      </c>
      <c r="E229" s="26">
        <f>INTERCEPT(F231:F241,E231:E241)</f>
        <v>0.76178087825765151</v>
      </c>
      <c r="F229" s="26">
        <f>SLOPE(F231:F241,E231:E241)</f>
        <v>0.36041696430537762</v>
      </c>
      <c r="G229" s="29" t="s">
        <v>139</v>
      </c>
      <c r="H229" s="29">
        <f>SUM(H231:H241)/11</f>
        <v>0.43750428722183893</v>
      </c>
      <c r="I229" s="58" t="s">
        <v>371</v>
      </c>
      <c r="J229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2"/>
      <c r="V229" s="41"/>
      <c r="W229" s="41"/>
    </row>
    <row r="230" spans="1:23" s="26" customFormat="1" x14ac:dyDescent="0.25">
      <c r="A230" s="26" t="s">
        <v>372</v>
      </c>
      <c r="B230" s="26" t="s">
        <v>177</v>
      </c>
      <c r="E230" s="26" t="s">
        <v>137</v>
      </c>
      <c r="F230" s="26" t="s">
        <v>138</v>
      </c>
      <c r="G230" s="29" t="s">
        <v>361</v>
      </c>
      <c r="H230" s="29" t="s">
        <v>360</v>
      </c>
      <c r="I230" s="36" t="s">
        <v>376</v>
      </c>
      <c r="J230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</row>
    <row r="231" spans="1:23" s="26" customFormat="1" x14ac:dyDescent="0.25">
      <c r="A231" s="26">
        <v>5</v>
      </c>
      <c r="B231" s="27">
        <f>MEDIAN(I231:Z231)</f>
        <v>11.91</v>
      </c>
      <c r="C231" s="26" t="e">
        <f>_xlfn.PERCENTILE.EXC(I231:Z231,0.2)</f>
        <v>#NUM!</v>
      </c>
      <c r="D231" s="26" t="e">
        <f>_xlfn.PERCENTILE.EXC(I231:Z231,0.8)</f>
        <v>#NUM!</v>
      </c>
      <c r="E231" s="26">
        <f>LOG10(A231)</f>
        <v>0.69897000433601886</v>
      </c>
      <c r="F231" s="26">
        <f>LOG10(B231)</f>
        <v>1.0759117614827776</v>
      </c>
      <c r="G231" s="29">
        <f>10^((Sheet5!$F$3*LOG10($A231)+Sheet5!$F$2-Sheet5!$D$2)/Sheet5!$D$3)</f>
        <v>8.8462893633923017</v>
      </c>
      <c r="H231" s="29" cm="1">
        <f t="array" ref="H231">SUM(ABS(IFERROR(LOG10(I231:Z231)-LOG10(G231),0)))</f>
        <v>0.12915062038213465</v>
      </c>
      <c r="I231" s="36">
        <f>10.75+0.232*$A231</f>
        <v>11.91</v>
      </c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</row>
    <row r="232" spans="1:23" s="26" customFormat="1" x14ac:dyDescent="0.25">
      <c r="A232" s="26">
        <v>10</v>
      </c>
      <c r="B232" s="27">
        <f t="shared" ref="B232:B241" si="225">MEDIAN(I232:Z232)</f>
        <v>13.07</v>
      </c>
      <c r="C232" s="26" t="e">
        <f t="shared" ref="C232:C241" si="226">_xlfn.PERCENTILE.EXC(I232:Z232,0.2)</f>
        <v>#NUM!</v>
      </c>
      <c r="D232" s="26" t="e">
        <f t="shared" ref="D232:D241" si="227">_xlfn.PERCENTILE.EXC(I232:Z232,0.8)</f>
        <v>#NUM!</v>
      </c>
      <c r="E232" s="26">
        <f t="shared" ref="E232:E241" si="228">LOG10(A232)</f>
        <v>1</v>
      </c>
      <c r="F232" s="26">
        <f t="shared" ref="F232:F241" si="229">LOG10(B232)</f>
        <v>1.1162755875805443</v>
      </c>
      <c r="G232" s="29">
        <f>10^((Sheet5!$F$3*LOG10($A232)+Sheet5!$F$2-Sheet5!$D$2)/Sheet5!$D$3)</f>
        <v>16.660000000004167</v>
      </c>
      <c r="H232" s="29" cm="1">
        <f t="array" ref="H232">SUM(ABS(IFERROR(LOG10(I232:Z232)-LOG10(G232),0)))</f>
        <v>0.105399409490333</v>
      </c>
      <c r="I232" s="36">
        <f t="shared" ref="I232:I241" si="230">10.75+0.232*$A232</f>
        <v>13.07</v>
      </c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</row>
    <row r="233" spans="1:23" s="26" customFormat="1" x14ac:dyDescent="0.25">
      <c r="A233" s="26">
        <v>20</v>
      </c>
      <c r="B233" s="27">
        <f t="shared" si="225"/>
        <v>15.39</v>
      </c>
      <c r="C233" s="26" t="e">
        <f t="shared" si="226"/>
        <v>#NUM!</v>
      </c>
      <c r="D233" s="26" t="e">
        <f t="shared" si="227"/>
        <v>#NUM!</v>
      </c>
      <c r="E233" s="26">
        <f t="shared" si="228"/>
        <v>1.3010299956639813</v>
      </c>
      <c r="F233" s="26">
        <f t="shared" si="229"/>
        <v>1.1872386198314788</v>
      </c>
      <c r="G233" s="29">
        <f>10^((Sheet5!$F$3*LOG10($A233)+Sheet5!$F$2-Sheet5!$D$2)/Sheet5!$D$3)</f>
        <v>31.37536978484102</v>
      </c>
      <c r="H233" s="29" cm="1">
        <f t="array" ref="H233">SUM(ABS(IFERROR(LOG10(I233:Z233)-LOG10(G233),0)))</f>
        <v>0.30935023320963384</v>
      </c>
      <c r="I233" s="36">
        <f t="shared" si="230"/>
        <v>15.39</v>
      </c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</row>
    <row r="234" spans="1:23" s="26" customFormat="1" x14ac:dyDescent="0.25">
      <c r="A234" s="26">
        <v>30</v>
      </c>
      <c r="B234" s="27">
        <f t="shared" si="225"/>
        <v>17.71</v>
      </c>
      <c r="C234" s="26" t="e">
        <f t="shared" si="226"/>
        <v>#NUM!</v>
      </c>
      <c r="D234" s="26" t="e">
        <f t="shared" si="227"/>
        <v>#NUM!</v>
      </c>
      <c r="E234" s="26">
        <f t="shared" si="228"/>
        <v>1.4771212547196624</v>
      </c>
      <c r="F234" s="26">
        <f t="shared" si="229"/>
        <v>1.2482185611900747</v>
      </c>
      <c r="G234" s="29">
        <f>10^((Sheet5!$F$3*LOG10($A234)+Sheet5!$F$2-Sheet5!$D$2)/Sheet5!$D$3)</f>
        <v>45.436320017773951</v>
      </c>
      <c r="H234" s="29" cm="1">
        <f t="array" ref="H234">SUM(ABS(IFERROR(LOG10(I234:Z234)-LOG10(G234),0)))</f>
        <v>0.40918458852228179</v>
      </c>
      <c r="I234" s="36">
        <f t="shared" si="230"/>
        <v>17.71</v>
      </c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</row>
    <row r="235" spans="1:23" s="26" customFormat="1" x14ac:dyDescent="0.25">
      <c r="A235" s="26">
        <v>40</v>
      </c>
      <c r="B235" s="27">
        <f t="shared" si="225"/>
        <v>20.03</v>
      </c>
      <c r="C235" s="26" t="e">
        <f t="shared" si="226"/>
        <v>#NUM!</v>
      </c>
      <c r="D235" s="26" t="e">
        <f t="shared" si="227"/>
        <v>#NUM!</v>
      </c>
      <c r="E235" s="26">
        <f t="shared" si="228"/>
        <v>1.6020599913279623</v>
      </c>
      <c r="F235" s="26">
        <f t="shared" si="229"/>
        <v>1.3016809492935764</v>
      </c>
      <c r="G235" s="29">
        <f>10^((Sheet5!$F$3*LOG10($A235)+Sheet5!$F$2-Sheet5!$D$2)/Sheet5!$D$3)</f>
        <v>59.088465134169653</v>
      </c>
      <c r="H235" s="29" cm="1">
        <f t="array" ref="H235">SUM(ABS(IFERROR(LOG10(I235:Z235)-LOG10(G235),0)))</f>
        <v>0.46982175971777052</v>
      </c>
      <c r="I235" s="36">
        <f t="shared" si="230"/>
        <v>20.03</v>
      </c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</row>
    <row r="236" spans="1:23" s="26" customFormat="1" x14ac:dyDescent="0.25">
      <c r="A236" s="26">
        <v>50</v>
      </c>
      <c r="B236" s="27">
        <f t="shared" si="225"/>
        <v>22.35</v>
      </c>
      <c r="C236" s="26" t="e">
        <f t="shared" si="226"/>
        <v>#NUM!</v>
      </c>
      <c r="D236" s="26" t="e">
        <f t="shared" si="227"/>
        <v>#NUM!</v>
      </c>
      <c r="E236" s="26">
        <f t="shared" si="228"/>
        <v>1.6989700043360187</v>
      </c>
      <c r="F236" s="26">
        <f t="shared" si="229"/>
        <v>1.3492775274679554</v>
      </c>
      <c r="G236" s="29">
        <f>10^((Sheet5!$F$3*LOG10($A236)+Sheet5!$F$2-Sheet5!$D$2)/Sheet5!$D$3)</f>
        <v>72.444463899336753</v>
      </c>
      <c r="H236" s="29" cm="1">
        <f t="array" ref="H236">SUM(ABS(IFERROR(LOG10(I236:Z236)-LOG10(G236),0)))</f>
        <v>0.5107276754540282</v>
      </c>
      <c r="I236" s="36">
        <f t="shared" si="230"/>
        <v>22.35</v>
      </c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</row>
    <row r="237" spans="1:23" s="26" customFormat="1" x14ac:dyDescent="0.25">
      <c r="A237" s="26">
        <v>60</v>
      </c>
      <c r="B237" s="27">
        <f t="shared" si="225"/>
        <v>24.67</v>
      </c>
      <c r="C237" s="26" t="e">
        <f t="shared" si="226"/>
        <v>#NUM!</v>
      </c>
      <c r="D237" s="26" t="e">
        <f t="shared" si="227"/>
        <v>#NUM!</v>
      </c>
      <c r="E237" s="26">
        <f t="shared" si="228"/>
        <v>1.7781512503836436</v>
      </c>
      <c r="F237" s="26">
        <f t="shared" si="229"/>
        <v>1.3921691494897361</v>
      </c>
      <c r="G237" s="29">
        <f>10^((Sheet5!$F$3*LOG10($A237)+Sheet5!$F$2-Sheet5!$D$2)/Sheet5!$D$3)</f>
        <v>85.569108176450882</v>
      </c>
      <c r="H237" s="29" cm="1">
        <f t="array" ref="H237">SUM(ABS(IFERROR(LOG10(I237:Z237)-LOG10(G237),0)))</f>
        <v>0.54014785619285433</v>
      </c>
      <c r="I237" s="36">
        <f t="shared" si="230"/>
        <v>24.67</v>
      </c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</row>
    <row r="238" spans="1:23" s="26" customFormat="1" x14ac:dyDescent="0.25">
      <c r="A238" s="26">
        <v>70</v>
      </c>
      <c r="B238" s="27">
        <f t="shared" si="225"/>
        <v>26.990000000000002</v>
      </c>
      <c r="C238" s="26" t="e">
        <f t="shared" si="226"/>
        <v>#NUM!</v>
      </c>
      <c r="D238" s="26" t="e">
        <f t="shared" si="227"/>
        <v>#NUM!</v>
      </c>
      <c r="E238" s="26">
        <f t="shared" si="228"/>
        <v>1.8450980400142569</v>
      </c>
      <c r="F238" s="26">
        <f t="shared" si="229"/>
        <v>1.4312028845565166</v>
      </c>
      <c r="G238" s="29">
        <f>10^((Sheet5!$F$3*LOG10($A238)+Sheet5!$F$2-Sheet5!$D$2)/Sheet5!$D$3)</f>
        <v>98.504430336450497</v>
      </c>
      <c r="H238" s="29" cm="1">
        <f t="array" ref="H238">SUM(ABS(IFERROR(LOG10(I238:Z238)-LOG10(G238),0)))</f>
        <v>0.56225287921423495</v>
      </c>
      <c r="I238" s="36">
        <f t="shared" si="230"/>
        <v>26.990000000000002</v>
      </c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</row>
    <row r="239" spans="1:23" s="26" customFormat="1" x14ac:dyDescent="0.25">
      <c r="A239" s="26">
        <v>80</v>
      </c>
      <c r="B239" s="27">
        <f t="shared" si="225"/>
        <v>29.310000000000002</v>
      </c>
      <c r="C239" s="26" t="e">
        <f t="shared" si="226"/>
        <v>#NUM!</v>
      </c>
      <c r="D239" s="26" t="e">
        <f t="shared" si="227"/>
        <v>#NUM!</v>
      </c>
      <c r="E239" s="26">
        <f t="shared" si="228"/>
        <v>1.9030899869919435</v>
      </c>
      <c r="F239" s="26">
        <f t="shared" si="229"/>
        <v>1.4670158184384356</v>
      </c>
      <c r="G239" s="29">
        <f>10^((Sheet5!$F$3*LOG10($A239)+Sheet5!$F$2-Sheet5!$D$2)/Sheet5!$D$3)</f>
        <v>111.27985855959153</v>
      </c>
      <c r="H239" s="29" cm="1">
        <f t="array" ref="H239">SUM(ABS(IFERROR(LOG10(I239:Z239)-LOG10(G239),0)))</f>
        <v>0.57940074654314655</v>
      </c>
      <c r="I239" s="36">
        <f t="shared" si="230"/>
        <v>29.310000000000002</v>
      </c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</row>
    <row r="240" spans="1:23" s="26" customFormat="1" x14ac:dyDescent="0.25">
      <c r="A240" s="26">
        <v>90</v>
      </c>
      <c r="B240" s="27">
        <f t="shared" si="225"/>
        <v>31.630000000000003</v>
      </c>
      <c r="C240" s="26" t="e">
        <f t="shared" si="226"/>
        <v>#NUM!</v>
      </c>
      <c r="D240" s="26" t="e">
        <f t="shared" si="227"/>
        <v>#NUM!</v>
      </c>
      <c r="E240" s="26">
        <f t="shared" si="228"/>
        <v>1.954242509439325</v>
      </c>
      <c r="F240" s="26">
        <f t="shared" si="229"/>
        <v>1.5000991919157229</v>
      </c>
      <c r="G240" s="29">
        <f>10^((Sheet5!$F$3*LOG10($A240)+Sheet5!$F$2-Sheet5!$D$2)/Sheet5!$D$3)</f>
        <v>123.9171174524039</v>
      </c>
      <c r="H240" s="29" cm="1">
        <f t="array" ref="H240">SUM(ABS(IFERROR(LOG10(I240:Z240)-LOG10(G240),0)))</f>
        <v>0.59303211043811244</v>
      </c>
      <c r="I240" s="36">
        <f t="shared" si="230"/>
        <v>31.630000000000003</v>
      </c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</row>
    <row r="241" spans="1:23" s="26" customFormat="1" x14ac:dyDescent="0.25">
      <c r="A241" s="26">
        <v>100</v>
      </c>
      <c r="B241" s="27">
        <f t="shared" si="225"/>
        <v>33.950000000000003</v>
      </c>
      <c r="C241" s="26" t="e">
        <f t="shared" si="226"/>
        <v>#NUM!</v>
      </c>
      <c r="D241" s="26" t="e">
        <f t="shared" si="227"/>
        <v>#NUM!</v>
      </c>
      <c r="E241" s="26">
        <f t="shared" si="228"/>
        <v>2</v>
      </c>
      <c r="F241" s="26">
        <f t="shared" si="229"/>
        <v>1.5308397786165204</v>
      </c>
      <c r="G241" s="29">
        <f>10^((Sheet5!$F$3*LOG10($A241)+Sheet5!$F$2-Sheet5!$D$2)/Sheet5!$D$3)</f>
        <v>136.43288377585139</v>
      </c>
      <c r="H241" s="29" cm="1">
        <f t="array" ref="H241">SUM(ABS(IFERROR(LOG10(I241:Z241)-LOG10(G241),0)))</f>
        <v>0.60407928027569779</v>
      </c>
      <c r="I241" s="36">
        <f t="shared" si="230"/>
        <v>33.950000000000003</v>
      </c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</row>
    <row r="242" spans="1:23" s="28" customFormat="1" ht="15.75" thickBot="1" x14ac:dyDescent="0.3">
      <c r="B242" s="28">
        <f>CORREL(B231:B241,A231:A241)</f>
        <v>0.99999999999999989</v>
      </c>
      <c r="F242" s="28">
        <f>CORREL(F231:F241,E231:E241)</f>
        <v>0.97065357207287195</v>
      </c>
      <c r="G242" s="30"/>
      <c r="H242" s="30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35"/>
      <c r="V242" s="43"/>
      <c r="W242" s="43"/>
    </row>
    <row r="243" spans="1:23" s="33" customFormat="1" x14ac:dyDescent="0.25">
      <c r="E243" s="26">
        <f>INTERCEPT(F245:F255,E245:E255)</f>
        <v>0.1680581910411072</v>
      </c>
      <c r="F243" s="26">
        <f>SLOPE(F245:F255,E245:E255)</f>
        <v>0.95809686090029422</v>
      </c>
      <c r="G243" s="29" t="s">
        <v>139</v>
      </c>
      <c r="H243" s="29">
        <f>SUM(H245:H255)/11</f>
        <v>1.5049744602140764</v>
      </c>
      <c r="I243" s="41" t="s">
        <v>383</v>
      </c>
      <c r="J243" s="41" t="s">
        <v>384</v>
      </c>
      <c r="K243" s="60" t="s">
        <v>387</v>
      </c>
      <c r="L243" s="60" t="s">
        <v>402</v>
      </c>
      <c r="M243" s="41"/>
      <c r="N243" s="41"/>
      <c r="O243" s="41"/>
      <c r="P243" s="41"/>
      <c r="Q243" s="41"/>
      <c r="R243" s="41"/>
      <c r="S243" s="41"/>
      <c r="T243" s="41"/>
      <c r="U243" s="42"/>
      <c r="V243" s="41"/>
      <c r="W243" s="41"/>
    </row>
    <row r="244" spans="1:23" s="26" customFormat="1" x14ac:dyDescent="0.25">
      <c r="A244" s="26" t="s">
        <v>382</v>
      </c>
      <c r="B244" s="26" t="s">
        <v>245</v>
      </c>
      <c r="E244" s="26" t="s">
        <v>137</v>
      </c>
      <c r="F244" s="26" t="s">
        <v>138</v>
      </c>
      <c r="G244" s="29" t="s">
        <v>361</v>
      </c>
      <c r="H244" s="29" t="s">
        <v>360</v>
      </c>
      <c r="I244" s="35" t="s">
        <v>385</v>
      </c>
      <c r="J244" s="35" t="s">
        <v>386</v>
      </c>
      <c r="K244" s="35" t="s">
        <v>386</v>
      </c>
      <c r="L244" s="35" t="s">
        <v>403</v>
      </c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</row>
    <row r="245" spans="1:23" s="26" customFormat="1" x14ac:dyDescent="0.25">
      <c r="A245" s="26">
        <v>1.778279410038923</v>
      </c>
      <c r="B245" s="27">
        <f>MEDIAN(I245:Z245)</f>
        <v>2.6148702244447004</v>
      </c>
      <c r="C245" s="26">
        <f>_xlfn.PERCENTILE.EXC(I245:Z245,0.2)</f>
        <v>0.5263707053715212</v>
      </c>
      <c r="D245" s="26">
        <f>_xlfn.PERCENTILE.EXC(I245:Z245,0.8)</f>
        <v>4.0011286725875763</v>
      </c>
      <c r="E245" s="26">
        <f>LOG10(A245)</f>
        <v>0.25000000000000006</v>
      </c>
      <c r="F245" s="26">
        <f>LOG10(B245)</f>
        <v>0.41745013977839135</v>
      </c>
      <c r="G245" s="29">
        <f>10^((((LOG10($A245)-Sheet5!$D$2)/Sheet5!$D$3-Sheet5!$M$2)/Sheet5!$M$3))</f>
        <v>1.6223748340262434</v>
      </c>
      <c r="H245" s="29" cm="1">
        <f t="array" ref="H245">SUM(ABS(IFERROR(LOG10(I245:Z245)-LOG10(G245),0)))</f>
        <v>1.2284947094352603</v>
      </c>
      <c r="I245" s="35">
        <f>(A245*145.038)/19.4*0.271447138</f>
        <v>3.6088209854307256</v>
      </c>
      <c r="J245" s="35">
        <f>0.296*$A245</f>
        <v>0.5263707053715212</v>
      </c>
      <c r="K245" s="35">
        <f>2.25*A245</f>
        <v>4.0011286725875763</v>
      </c>
      <c r="L245" s="35">
        <f>(A245*145.038/10^1.415)^(1/1.284)*0.271447138</f>
        <v>1.6209194634586754</v>
      </c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</row>
    <row r="246" spans="1:23" s="26" customFormat="1" x14ac:dyDescent="0.25">
      <c r="A246" s="26">
        <v>3.1622776601683795</v>
      </c>
      <c r="B246" s="27">
        <f t="shared" ref="B246:B255" si="231">MEDIAN(I246:Z246)</f>
        <v>4.4776696751760099</v>
      </c>
      <c r="C246" s="26">
        <f t="shared" ref="C246:C255" si="232">_xlfn.PERCENTILE.EXC(I246:Z246,0.2)</f>
        <v>0.93603418740984035</v>
      </c>
      <c r="D246" s="26">
        <f t="shared" ref="D246:D255" si="233">_xlfn.PERCENTILE.EXC(I246:Z246,0.8)</f>
        <v>7.1151247353788536</v>
      </c>
      <c r="E246" s="26">
        <f t="shared" ref="E246:E255" si="234">LOG10(A246)</f>
        <v>0.5</v>
      </c>
      <c r="F246" s="26">
        <f t="shared" ref="F246:F255" si="235">LOG10(B246)</f>
        <v>0.65105205182904624</v>
      </c>
      <c r="G246" s="29">
        <f>10^((((LOG10($A246)-Sheet5!$D$2)/Sheet5!$D$3-Sheet5!$M$2)/Sheet5!$M$3))</f>
        <v>2.8645800574107816</v>
      </c>
      <c r="H246" s="29" cm="1">
        <f t="array" ref="H246">SUM(ABS(IFERROR(LOG10(I246:Z246)-LOG10(G246),0)))</f>
        <v>1.2837906595910233</v>
      </c>
      <c r="I246" s="35">
        <f t="shared" ref="I246:I255" si="236">(A246*145.038)/19.4*0.271447138</f>
        <v>6.4174920529078348</v>
      </c>
      <c r="J246" s="35">
        <f t="shared" ref="J246:J255" si="237">0.296*$A246</f>
        <v>0.93603418740984035</v>
      </c>
      <c r="K246" s="35">
        <f t="shared" ref="K246:K255" si="238">2.25*A246</f>
        <v>7.1151247353788536</v>
      </c>
      <c r="L246" s="35">
        <f t="shared" ref="L246:L255" si="239">(A246*145.038/10^1.415)^(1/1.284)*0.271447138</f>
        <v>2.5378472974441859</v>
      </c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</row>
    <row r="247" spans="1:23" s="26" customFormat="1" x14ac:dyDescent="0.25">
      <c r="A247" s="26">
        <v>5.6234132519034921</v>
      </c>
      <c r="B247" s="27">
        <f t="shared" si="231"/>
        <v>7.6927801538667673</v>
      </c>
      <c r="C247" s="26">
        <f t="shared" si="232"/>
        <v>1.6645303225634336</v>
      </c>
      <c r="D247" s="26">
        <f t="shared" si="233"/>
        <v>12.652679816782857</v>
      </c>
      <c r="E247" s="26">
        <f t="shared" si="234"/>
        <v>0.75000000000000011</v>
      </c>
      <c r="F247" s="26">
        <f t="shared" si="235"/>
        <v>0.88608332124226918</v>
      </c>
      <c r="G247" s="29">
        <f>10^((((LOG10($A247)-Sheet5!$D$2)/Sheet5!$D$3-Sheet5!$M$2)/Sheet5!$M$3))</f>
        <v>5.0579056906049287</v>
      </c>
      <c r="H247" s="29" cm="1">
        <f t="array" ref="H247">SUM(ABS(IFERROR(LOG10(I247:Z247)-LOG10(G247),0)))</f>
        <v>1.3390866097467868</v>
      </c>
      <c r="I247" s="35">
        <f t="shared" si="236"/>
        <v>11.412093981774422</v>
      </c>
      <c r="J247" s="35">
        <f t="shared" si="237"/>
        <v>1.6645303225634336</v>
      </c>
      <c r="K247" s="35">
        <f t="shared" si="238"/>
        <v>12.652679816782857</v>
      </c>
      <c r="L247" s="35">
        <f t="shared" si="239"/>
        <v>3.9734663259591128</v>
      </c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</row>
    <row r="248" spans="1:23" s="26" customFormat="1" x14ac:dyDescent="0.25">
      <c r="A248" s="26">
        <v>10</v>
      </c>
      <c r="B248" s="27">
        <f t="shared" si="231"/>
        <v>13.257541746469377</v>
      </c>
      <c r="C248" s="26">
        <f t="shared" si="232"/>
        <v>2.96</v>
      </c>
      <c r="D248" s="26">
        <f t="shared" si="233"/>
        <v>22.5</v>
      </c>
      <c r="E248" s="26">
        <f t="shared" si="234"/>
        <v>1</v>
      </c>
      <c r="F248" s="26">
        <f t="shared" si="235"/>
        <v>1.1224630033359704</v>
      </c>
      <c r="G248" s="29">
        <f>10^((((LOG10($A248)-Sheet5!$D$2)/Sheet5!$D$3-Sheet5!$M$2)/Sheet5!$M$3))</f>
        <v>8.9305969679119208</v>
      </c>
      <c r="H248" s="29" cm="1">
        <f t="array" ref="H248">SUM(ABS(IFERROR(LOG10(I248:Z248)-LOG10(G248),0)))</f>
        <v>1.3943825599025499</v>
      </c>
      <c r="I248" s="35">
        <f t="shared" si="236"/>
        <v>20.293891753218556</v>
      </c>
      <c r="J248" s="35">
        <f t="shared" si="237"/>
        <v>2.96</v>
      </c>
      <c r="K248" s="35">
        <f t="shared" si="238"/>
        <v>22.5</v>
      </c>
      <c r="L248" s="35">
        <f t="shared" si="239"/>
        <v>6.2211917397201972</v>
      </c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</row>
    <row r="249" spans="1:23" s="26" customFormat="1" x14ac:dyDescent="0.25">
      <c r="A249" s="26">
        <v>17.782794100389236</v>
      </c>
      <c r="B249" s="27">
        <f t="shared" si="231"/>
        <v>22.914314397598901</v>
      </c>
      <c r="C249" s="26">
        <f t="shared" si="232"/>
        <v>5.2637070537152137</v>
      </c>
      <c r="D249" s="26">
        <f t="shared" si="233"/>
        <v>40.011286725875777</v>
      </c>
      <c r="E249" s="26">
        <f t="shared" si="234"/>
        <v>1.2500000000000002</v>
      </c>
      <c r="F249" s="26">
        <f t="shared" si="235"/>
        <v>1.3601068675684134</v>
      </c>
      <c r="G249" s="29">
        <f>10^((((LOG10($A249)-Sheet5!$D$2)/Sheet5!$D$3-Sheet5!$M$2)/Sheet5!$M$3))</f>
        <v>15.768495318412883</v>
      </c>
      <c r="H249" s="29" cm="1">
        <f t="array" ref="H249">SUM(ABS(IFERROR(LOG10(I249:Z249)-LOG10(G249),0)))</f>
        <v>1.4496785100583134</v>
      </c>
      <c r="I249" s="35">
        <f t="shared" si="236"/>
        <v>36.088209854307273</v>
      </c>
      <c r="J249" s="35">
        <f t="shared" si="237"/>
        <v>5.2637070537152137</v>
      </c>
      <c r="K249" s="35">
        <f t="shared" si="238"/>
        <v>40.011286725875777</v>
      </c>
      <c r="L249" s="35">
        <f t="shared" si="239"/>
        <v>9.7404189408905264</v>
      </c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</row>
    <row r="250" spans="1:23" s="26" customFormat="1" x14ac:dyDescent="0.25">
      <c r="A250" s="26">
        <v>31.622776601683803</v>
      </c>
      <c r="B250" s="27">
        <f t="shared" si="231"/>
        <v>39.712668192009851</v>
      </c>
      <c r="C250" s="26">
        <f t="shared" si="232"/>
        <v>9.3603418740984061</v>
      </c>
      <c r="D250" s="26">
        <f t="shared" si="233"/>
        <v>71.151247353788563</v>
      </c>
      <c r="E250" s="26">
        <f t="shared" si="234"/>
        <v>1.5000000000000002</v>
      </c>
      <c r="F250" s="26">
        <f t="shared" si="235"/>
        <v>1.5989290671731227</v>
      </c>
      <c r="G250" s="29">
        <f>10^((((LOG10($A250)-Sheet5!$D$2)/Sheet5!$D$3-Sheet5!$M$2)/Sheet5!$M$3))</f>
        <v>27.841973554534423</v>
      </c>
      <c r="H250" s="29" cm="1">
        <f t="array" ref="H250">SUM(ABS(IFERROR(LOG10(I250:Z250)-LOG10(G250),0)))</f>
        <v>1.5049744602140769</v>
      </c>
      <c r="I250" s="35">
        <f t="shared" si="236"/>
        <v>64.174920529078378</v>
      </c>
      <c r="J250" s="35">
        <f t="shared" si="237"/>
        <v>9.3603418740984061</v>
      </c>
      <c r="K250" s="35">
        <f t="shared" si="238"/>
        <v>71.151247353788563</v>
      </c>
      <c r="L250" s="35">
        <f t="shared" si="239"/>
        <v>15.250415854941329</v>
      </c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</row>
    <row r="251" spans="1:23" s="26" customFormat="1" x14ac:dyDescent="0.25">
      <c r="A251" s="26">
        <v>56.234132519034915</v>
      </c>
      <c r="B251" s="27">
        <f t="shared" si="231"/>
        <v>68.999134208632853</v>
      </c>
      <c r="C251" s="26">
        <f t="shared" si="232"/>
        <v>16.645303225634333</v>
      </c>
      <c r="D251" s="26">
        <f t="shared" si="233"/>
        <v>126.52679816782856</v>
      </c>
      <c r="E251" s="26">
        <f t="shared" si="234"/>
        <v>1.75</v>
      </c>
      <c r="F251" s="26">
        <f t="shared" si="235"/>
        <v>1.8388436413057732</v>
      </c>
      <c r="G251" s="29">
        <f>10^((((LOG10($A251)-Sheet5!$D$2)/Sheet5!$D$3-Sheet5!$M$2)/Sheet5!$M$3))</f>
        <v>49.159762917024864</v>
      </c>
      <c r="H251" s="29" cm="1">
        <f t="array" ref="H251">SUM(ABS(IFERROR(LOG10(I251:Z251)-LOG10(G251),0)))</f>
        <v>1.5602704103698402</v>
      </c>
      <c r="I251" s="35">
        <f t="shared" si="236"/>
        <v>114.12093981774423</v>
      </c>
      <c r="J251" s="35">
        <f t="shared" si="237"/>
        <v>16.645303225634333</v>
      </c>
      <c r="K251" s="35">
        <f t="shared" si="238"/>
        <v>126.52679816782856</v>
      </c>
      <c r="L251" s="35">
        <f t="shared" si="239"/>
        <v>23.877328599521455</v>
      </c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</row>
    <row r="252" spans="1:23" s="26" customFormat="1" x14ac:dyDescent="0.25">
      <c r="A252" s="26">
        <v>100</v>
      </c>
      <c r="B252" s="27">
        <f t="shared" si="231"/>
        <v>120.16163170329163</v>
      </c>
      <c r="C252" s="26">
        <f t="shared" si="232"/>
        <v>29.599999999999998</v>
      </c>
      <c r="D252" s="26">
        <f t="shared" si="233"/>
        <v>225</v>
      </c>
      <c r="E252" s="26">
        <f t="shared" si="234"/>
        <v>2</v>
      </c>
      <c r="F252" s="26">
        <f t="shared" si="235"/>
        <v>2.0797658170878917</v>
      </c>
      <c r="G252" s="29">
        <f>10^((((LOG10($A252)-Sheet5!$D$2)/Sheet5!$D$3-Sheet5!$M$2)/Sheet5!$M$3))</f>
        <v>86.799963563089619</v>
      </c>
      <c r="H252" s="29" cm="1">
        <f t="array" ref="H252">SUM(ABS(IFERROR(LOG10(I252:Z252)-LOG10(G252),0)))</f>
        <v>1.6155663605256032</v>
      </c>
      <c r="I252" s="35">
        <f t="shared" si="236"/>
        <v>202.93891753218557</v>
      </c>
      <c r="J252" s="35">
        <f t="shared" si="237"/>
        <v>29.599999999999998</v>
      </c>
      <c r="K252" s="35">
        <f t="shared" si="238"/>
        <v>225</v>
      </c>
      <c r="L252" s="35">
        <f t="shared" si="239"/>
        <v>37.38434587439771</v>
      </c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</row>
    <row r="253" spans="1:23" s="26" customFormat="1" x14ac:dyDescent="0.25">
      <c r="A253" s="26">
        <v>177.82794100389242</v>
      </c>
      <c r="B253" s="27">
        <f t="shared" si="231"/>
        <v>209.70708107721777</v>
      </c>
      <c r="C253" s="26">
        <f t="shared" si="232"/>
        <v>52.637070537152155</v>
      </c>
      <c r="D253" s="26">
        <f t="shared" si="233"/>
        <v>400.11286725875794</v>
      </c>
      <c r="E253" s="26">
        <f t="shared" si="234"/>
        <v>2.2500000000000004</v>
      </c>
      <c r="F253" s="26">
        <f t="shared" si="235"/>
        <v>2.3216130953239058</v>
      </c>
      <c r="G253" s="29">
        <f>10^((((LOG10($A253)-Sheet5!$D$2)/Sheet5!$D$3-Sheet5!$M$2)/Sheet5!$M$3))</f>
        <v>153.2601710726407</v>
      </c>
      <c r="H253" s="29" cm="1">
        <f t="array" ref="H253">SUM(ABS(IFERROR(LOG10(I253:Z253)-LOG10(G253),0)))</f>
        <v>1.6708623106813663</v>
      </c>
      <c r="I253" s="35">
        <f t="shared" si="236"/>
        <v>360.88209854307286</v>
      </c>
      <c r="J253" s="35">
        <f t="shared" si="237"/>
        <v>52.637070537152155</v>
      </c>
      <c r="K253" s="35">
        <f t="shared" si="238"/>
        <v>400.11286725875794</v>
      </c>
      <c r="L253" s="35">
        <f t="shared" si="239"/>
        <v>58.532063611362631</v>
      </c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</row>
    <row r="254" spans="1:23" s="26" customFormat="1" x14ac:dyDescent="0.25">
      <c r="A254" s="26">
        <v>316.22776601683825</v>
      </c>
      <c r="B254" s="27">
        <f t="shared" si="231"/>
        <v>367.67631201588409</v>
      </c>
      <c r="C254" s="26">
        <f t="shared" si="232"/>
        <v>91.642702058105698</v>
      </c>
      <c r="D254" s="26">
        <f t="shared" si="233"/>
        <v>711.51247353788608</v>
      </c>
      <c r="E254" s="26">
        <f t="shared" si="234"/>
        <v>2.5000000000000004</v>
      </c>
      <c r="F254" s="26">
        <f t="shared" si="235"/>
        <v>2.5654656508311251</v>
      </c>
      <c r="G254" s="29">
        <f>10^((((LOG10($A254)-Sheet5!$D$2)/Sheet5!$D$3-Sheet5!$M$2)/Sheet5!$M$3))</f>
        <v>270.60702646657938</v>
      </c>
      <c r="H254" s="29" cm="1">
        <f t="array" ref="H254">SUM(ABS(IFERROR(LOG10(I254:Z254)-LOG10(G254),0)))</f>
        <v>1.7261582608371295</v>
      </c>
      <c r="I254" s="35">
        <f t="shared" si="236"/>
        <v>641.74920529078406</v>
      </c>
      <c r="J254" s="35">
        <f t="shared" si="237"/>
        <v>93.603418740984111</v>
      </c>
      <c r="K254" s="35">
        <f t="shared" si="238"/>
        <v>711.51247353788608</v>
      </c>
      <c r="L254" s="35">
        <f t="shared" si="239"/>
        <v>91.642702058105698</v>
      </c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</row>
    <row r="255" spans="1:23" s="26" customFormat="1" x14ac:dyDescent="0.25">
      <c r="A255" s="26">
        <v>562.34132519034927</v>
      </c>
      <c r="B255" s="27">
        <f t="shared" si="231"/>
        <v>653.83121521689282</v>
      </c>
      <c r="C255" s="26">
        <f t="shared" si="232"/>
        <v>143.48349130954551</v>
      </c>
      <c r="D255" s="26">
        <f t="shared" si="233"/>
        <v>1265.2679816782859</v>
      </c>
      <c r="E255" s="26">
        <f t="shared" si="234"/>
        <v>2.75</v>
      </c>
      <c r="F255" s="26">
        <f t="shared" si="235"/>
        <v>2.8154656508311247</v>
      </c>
      <c r="G255" s="29">
        <f>10^((((LOG10($A255)-Sheet5!$D$2)/Sheet5!$D$3-Sheet5!$M$2)/Sheet5!$M$3))</f>
        <v>477.80295598375551</v>
      </c>
      <c r="H255" s="29" cm="1">
        <f t="array" ref="H255">SUM(ABS(IFERROR(LOG10(I255:Z255)-LOG10(G255),0)))</f>
        <v>1.7814542109928926</v>
      </c>
      <c r="I255" s="35">
        <f t="shared" si="236"/>
        <v>1141.2093981774424</v>
      </c>
      <c r="J255" s="35">
        <f t="shared" si="237"/>
        <v>166.45303225634336</v>
      </c>
      <c r="K255" s="35">
        <f t="shared" si="238"/>
        <v>1265.2679816782859</v>
      </c>
      <c r="L255" s="35">
        <f t="shared" si="239"/>
        <v>143.48349130954551</v>
      </c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</row>
    <row r="256" spans="1:23" s="28" customFormat="1" ht="15.75" thickBot="1" x14ac:dyDescent="0.3">
      <c r="B256" s="28">
        <f>CORREL(B245:B255,A245:A255)</f>
        <v>0.99998026751107805</v>
      </c>
      <c r="F256" s="28">
        <f>CORREL(F245:F255,E245:E255)</f>
        <v>0.99996663076208303</v>
      </c>
      <c r="G256" s="30"/>
      <c r="H256" s="30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35"/>
      <c r="V256" s="43"/>
      <c r="W256" s="43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B394-2D64-4F09-88D7-702A350F476B}">
  <dimension ref="A1:AA42"/>
  <sheetViews>
    <sheetView topLeftCell="E25" workbookViewId="0">
      <selection activeCell="J1" sqref="J1:W1"/>
    </sheetView>
  </sheetViews>
  <sheetFormatPr defaultRowHeight="15" x14ac:dyDescent="0.25"/>
  <cols>
    <col min="10" max="17" width="9.28515625" bestFit="1" customWidth="1"/>
    <col min="18" max="19" width="13.140625" bestFit="1" customWidth="1"/>
    <col min="20" max="23" width="9.28515625" bestFit="1" customWidth="1"/>
  </cols>
  <sheetData>
    <row r="1" spans="1:27" ht="15.75" thickBot="1" x14ac:dyDescent="0.3">
      <c r="A1" s="78" t="s">
        <v>7</v>
      </c>
      <c r="B1" s="79"/>
      <c r="C1" s="79"/>
      <c r="D1" s="79"/>
      <c r="E1" s="79"/>
      <c r="F1" s="79"/>
      <c r="G1" s="79"/>
      <c r="H1" s="79"/>
      <c r="J1" s="78" t="s">
        <v>43</v>
      </c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Y1" s="78" t="s">
        <v>51</v>
      </c>
      <c r="Z1" s="79"/>
      <c r="AA1" s="79"/>
    </row>
    <row r="2" spans="1:27" ht="240.75" thickBot="1" x14ac:dyDescent="0.3">
      <c r="A2" s="3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  <c r="J2" s="3" t="s">
        <v>44</v>
      </c>
      <c r="K2" s="1" t="s">
        <v>45</v>
      </c>
      <c r="L2" s="1" t="s">
        <v>46</v>
      </c>
      <c r="M2" s="1" t="s">
        <v>45</v>
      </c>
      <c r="N2" s="1" t="s">
        <v>47</v>
      </c>
      <c r="O2" s="1" t="s">
        <v>45</v>
      </c>
      <c r="P2" s="1" t="s">
        <v>48</v>
      </c>
      <c r="Q2" s="1" t="s">
        <v>45</v>
      </c>
      <c r="R2" s="1"/>
      <c r="S2" s="1"/>
      <c r="T2" s="1" t="s">
        <v>49</v>
      </c>
      <c r="U2" s="1" t="s">
        <v>45</v>
      </c>
      <c r="V2" s="1" t="s">
        <v>50</v>
      </c>
      <c r="W2" s="1" t="s">
        <v>45</v>
      </c>
      <c r="Y2" s="9" t="s">
        <v>52</v>
      </c>
      <c r="Z2" s="16" t="s">
        <v>53</v>
      </c>
      <c r="AA2" s="7" t="s">
        <v>54</v>
      </c>
    </row>
    <row r="3" spans="1:27" ht="51" customHeight="1" thickBot="1" x14ac:dyDescent="0.3">
      <c r="A3" s="98" t="s">
        <v>13</v>
      </c>
      <c r="B3" s="99"/>
      <c r="C3" s="99"/>
      <c r="D3" s="99"/>
      <c r="E3" s="99"/>
      <c r="F3" s="99"/>
      <c r="G3" s="99"/>
      <c r="H3" s="100"/>
      <c r="J3" s="80" t="s">
        <v>41</v>
      </c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2"/>
      <c r="Y3" s="110" t="s">
        <v>55</v>
      </c>
      <c r="Z3" s="111"/>
      <c r="AA3" s="112"/>
    </row>
    <row r="4" spans="1:27" ht="26.25" thickBot="1" x14ac:dyDescent="0.3">
      <c r="A4" s="4">
        <v>100</v>
      </c>
      <c r="B4" s="2">
        <v>0.14000000000000001</v>
      </c>
      <c r="C4" s="2">
        <v>85</v>
      </c>
      <c r="D4" s="2">
        <v>0.14000000000000001</v>
      </c>
      <c r="E4" s="2">
        <v>2</v>
      </c>
      <c r="F4" s="2">
        <v>0.14000000000000001</v>
      </c>
      <c r="G4" s="2">
        <v>30</v>
      </c>
      <c r="H4" s="2">
        <v>0.14000000000000001</v>
      </c>
      <c r="J4" s="83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5"/>
      <c r="Y4" s="10" t="s">
        <v>56</v>
      </c>
      <c r="Z4" s="8" t="s">
        <v>57</v>
      </c>
      <c r="AA4" s="17">
        <v>40000</v>
      </c>
    </row>
    <row r="5" spans="1:27" ht="38.25" customHeight="1" thickBot="1" x14ac:dyDescent="0.3">
      <c r="A5" s="4">
        <v>70</v>
      </c>
      <c r="B5" s="2">
        <v>0.13</v>
      </c>
      <c r="C5" s="2">
        <v>80</v>
      </c>
      <c r="D5" s="2">
        <v>0.13</v>
      </c>
      <c r="E5" s="2">
        <v>2.5</v>
      </c>
      <c r="F5" s="2">
        <v>0.105</v>
      </c>
      <c r="G5" s="2">
        <v>25</v>
      </c>
      <c r="H5" s="2">
        <v>0.12</v>
      </c>
      <c r="J5" s="86" t="s">
        <v>42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8"/>
      <c r="Y5" s="10" t="s">
        <v>58</v>
      </c>
      <c r="Z5" s="8" t="s">
        <v>59</v>
      </c>
      <c r="AA5" s="17">
        <v>38000</v>
      </c>
    </row>
    <row r="6" spans="1:27" ht="26.25" thickBot="1" x14ac:dyDescent="0.3">
      <c r="A6" s="4">
        <v>60</v>
      </c>
      <c r="B6" s="2">
        <v>0.125</v>
      </c>
      <c r="C6" s="2">
        <v>70</v>
      </c>
      <c r="D6" s="2">
        <v>0.105</v>
      </c>
      <c r="E6" s="2">
        <v>3.5</v>
      </c>
      <c r="F6" s="2">
        <v>0.08</v>
      </c>
      <c r="G6" s="2">
        <v>20</v>
      </c>
      <c r="H6" s="2">
        <v>9.5000000000000001E-2</v>
      </c>
      <c r="J6" s="23">
        <v>10</v>
      </c>
      <c r="K6" s="24">
        <v>40000</v>
      </c>
      <c r="L6" s="24">
        <v>90</v>
      </c>
      <c r="M6" s="24">
        <v>47000</v>
      </c>
      <c r="N6" s="24">
        <v>90</v>
      </c>
      <c r="O6" s="24">
        <v>47500</v>
      </c>
      <c r="P6" s="24">
        <v>100</v>
      </c>
      <c r="Q6" s="24">
        <v>44000</v>
      </c>
      <c r="R6" s="24">
        <f>LOG10(P6)</f>
        <v>2</v>
      </c>
      <c r="S6" s="24">
        <f t="shared" ref="S6:S42" si="0">LOG10(Q6)</f>
        <v>4.6434526764861879</v>
      </c>
      <c r="T6" s="24">
        <v>2</v>
      </c>
      <c r="U6" s="24">
        <v>40000</v>
      </c>
      <c r="V6" s="24">
        <v>0</v>
      </c>
      <c r="W6" s="24">
        <v>10000</v>
      </c>
      <c r="Y6" s="10" t="s">
        <v>60</v>
      </c>
      <c r="Z6" s="8" t="s">
        <v>61</v>
      </c>
      <c r="AA6" s="17">
        <v>32000</v>
      </c>
    </row>
    <row r="7" spans="1:27" ht="26.25" thickBot="1" x14ac:dyDescent="0.3">
      <c r="A7" s="4">
        <v>50</v>
      </c>
      <c r="B7" s="2">
        <v>0.115</v>
      </c>
      <c r="C7" s="2">
        <v>60</v>
      </c>
      <c r="D7" s="2">
        <v>8.5000000000000006E-2</v>
      </c>
      <c r="E7" s="2">
        <v>4</v>
      </c>
      <c r="F7" s="2">
        <v>5.5E-2</v>
      </c>
      <c r="G7" s="2">
        <v>15</v>
      </c>
      <c r="H7" s="2">
        <v>7.0000000000000007E-2</v>
      </c>
      <c r="J7" s="23">
        <v>9.5</v>
      </c>
      <c r="K7" s="24">
        <v>34000</v>
      </c>
      <c r="L7" s="24">
        <v>85</v>
      </c>
      <c r="M7" s="24">
        <v>40000</v>
      </c>
      <c r="N7" s="24">
        <v>85</v>
      </c>
      <c r="O7" s="24">
        <v>41000</v>
      </c>
      <c r="P7" s="24">
        <v>95</v>
      </c>
      <c r="Q7" s="24">
        <v>42500</v>
      </c>
      <c r="R7" s="24">
        <f t="shared" ref="R7:R42" si="1">LOG10(P7)</f>
        <v>1.9777236052888478</v>
      </c>
      <c r="S7" s="24">
        <f t="shared" si="0"/>
        <v>4.6283889300503116</v>
      </c>
      <c r="T7" s="24">
        <v>-2.5</v>
      </c>
      <c r="U7" s="24">
        <v>30000</v>
      </c>
      <c r="V7" s="24">
        <v>-2.5</v>
      </c>
      <c r="W7" s="24">
        <v>8800</v>
      </c>
      <c r="Y7" s="10" t="s">
        <v>62</v>
      </c>
      <c r="Z7" s="8" t="s">
        <v>63</v>
      </c>
      <c r="AA7" s="17">
        <v>28000</v>
      </c>
    </row>
    <row r="8" spans="1:27" ht="26.25" thickBot="1" x14ac:dyDescent="0.3">
      <c r="A8" s="4">
        <v>40</v>
      </c>
      <c r="B8" s="2">
        <v>0.105</v>
      </c>
      <c r="C8" s="2">
        <v>50</v>
      </c>
      <c r="D8" s="2">
        <v>0.06</v>
      </c>
      <c r="E8" s="101"/>
      <c r="F8" s="102"/>
      <c r="G8" s="102"/>
      <c r="H8" s="103"/>
      <c r="J8" s="23">
        <v>9</v>
      </c>
      <c r="K8" s="24">
        <v>27000</v>
      </c>
      <c r="L8" s="24">
        <v>80</v>
      </c>
      <c r="M8" s="24">
        <v>34000</v>
      </c>
      <c r="N8" s="24">
        <v>80</v>
      </c>
      <c r="O8" s="24">
        <v>35800</v>
      </c>
      <c r="P8" s="24">
        <v>90</v>
      </c>
      <c r="Q8" s="24">
        <v>41000</v>
      </c>
      <c r="R8" s="24">
        <f t="shared" si="1"/>
        <v>1.954242509439325</v>
      </c>
      <c r="S8" s="24">
        <f t="shared" si="0"/>
        <v>4.6127838567197355</v>
      </c>
      <c r="T8" s="24">
        <v>3</v>
      </c>
      <c r="U8" s="24">
        <v>23000</v>
      </c>
      <c r="V8" s="24">
        <v>5</v>
      </c>
      <c r="W8" s="24">
        <v>7200</v>
      </c>
      <c r="Y8" s="10" t="s">
        <v>64</v>
      </c>
      <c r="Z8" s="8" t="s">
        <v>65</v>
      </c>
      <c r="AA8" s="17">
        <v>26000</v>
      </c>
    </row>
    <row r="9" spans="1:27" ht="26.25" thickBot="1" x14ac:dyDescent="0.3">
      <c r="A9" s="4">
        <v>30</v>
      </c>
      <c r="B9" s="2">
        <v>9.5000000000000001E-2</v>
      </c>
      <c r="C9" s="101"/>
      <c r="D9" s="103"/>
      <c r="E9" s="104"/>
      <c r="F9" s="105"/>
      <c r="G9" s="105"/>
      <c r="H9" s="106"/>
      <c r="J9" s="23">
        <v>8.5</v>
      </c>
      <c r="K9" s="24">
        <v>22000</v>
      </c>
      <c r="L9" s="24">
        <v>75</v>
      </c>
      <c r="M9" s="24">
        <v>28000</v>
      </c>
      <c r="N9" s="24">
        <v>75</v>
      </c>
      <c r="O9" s="24">
        <v>29100</v>
      </c>
      <c r="P9" s="24">
        <v>85</v>
      </c>
      <c r="Q9" s="24">
        <v>40000</v>
      </c>
      <c r="R9" s="24">
        <f t="shared" si="1"/>
        <v>1.9294189257142926</v>
      </c>
      <c r="S9" s="24">
        <f t="shared" si="0"/>
        <v>4.6020599913279625</v>
      </c>
      <c r="T9" s="24">
        <v>-3.5</v>
      </c>
      <c r="U9" s="24">
        <v>16000</v>
      </c>
      <c r="V9" s="24">
        <v>-7.5</v>
      </c>
      <c r="W9" s="24">
        <v>6000</v>
      </c>
      <c r="Y9" s="10" t="s">
        <v>66</v>
      </c>
      <c r="Z9" s="8" t="s">
        <v>67</v>
      </c>
      <c r="AA9" s="17">
        <v>24000</v>
      </c>
    </row>
    <row r="10" spans="1:27" ht="26.25" thickBot="1" x14ac:dyDescent="0.3">
      <c r="A10" s="5">
        <v>20</v>
      </c>
      <c r="B10" s="6">
        <v>7.0000000000000007E-2</v>
      </c>
      <c r="C10" s="107"/>
      <c r="D10" s="109"/>
      <c r="E10" s="107"/>
      <c r="F10" s="108"/>
      <c r="G10" s="108"/>
      <c r="H10" s="109"/>
      <c r="J10" s="23">
        <v>8</v>
      </c>
      <c r="K10" s="24">
        <v>19000</v>
      </c>
      <c r="L10" s="24">
        <v>70</v>
      </c>
      <c r="M10" s="24">
        <v>27500</v>
      </c>
      <c r="N10" s="24">
        <v>70</v>
      </c>
      <c r="O10" s="24">
        <v>25000</v>
      </c>
      <c r="P10" s="24">
        <v>80</v>
      </c>
      <c r="Q10" s="24">
        <v>39000</v>
      </c>
      <c r="R10" s="24">
        <f t="shared" si="1"/>
        <v>1.9030899869919435</v>
      </c>
      <c r="S10" s="24">
        <f t="shared" si="0"/>
        <v>4.5910646070264995</v>
      </c>
      <c r="T10" s="24">
        <v>4</v>
      </c>
      <c r="U10" s="24">
        <v>11300</v>
      </c>
      <c r="V10" s="24">
        <v>10</v>
      </c>
      <c r="W10" s="24">
        <v>5000</v>
      </c>
      <c r="Y10" s="10" t="s">
        <v>68</v>
      </c>
      <c r="Z10" s="8" t="s">
        <v>69</v>
      </c>
      <c r="AA10" s="17">
        <v>29000</v>
      </c>
    </row>
    <row r="11" spans="1:27" ht="26.25" thickBot="1" x14ac:dyDescent="0.3">
      <c r="J11" s="23">
        <v>7.5</v>
      </c>
      <c r="K11" s="24">
        <v>16000</v>
      </c>
      <c r="L11" s="24">
        <v>65</v>
      </c>
      <c r="M11" s="24">
        <v>20000</v>
      </c>
      <c r="N11" s="24">
        <v>65</v>
      </c>
      <c r="O11" s="24">
        <v>21200</v>
      </c>
      <c r="P11" s="24">
        <v>75</v>
      </c>
      <c r="Q11" s="24">
        <v>37000</v>
      </c>
      <c r="R11" s="24">
        <f t="shared" si="1"/>
        <v>1.8750612633917001</v>
      </c>
      <c r="S11" s="24">
        <f t="shared" si="0"/>
        <v>4.568201724066995</v>
      </c>
      <c r="T11" s="24">
        <v>-4.5</v>
      </c>
      <c r="U11" s="24">
        <v>7400</v>
      </c>
      <c r="V11" s="24">
        <v>-12.5</v>
      </c>
      <c r="W11" s="24">
        <v>4300</v>
      </c>
      <c r="Y11" s="10" t="s">
        <v>70</v>
      </c>
      <c r="Z11" s="8" t="s">
        <v>71</v>
      </c>
      <c r="AA11" s="17">
        <v>24000</v>
      </c>
    </row>
    <row r="12" spans="1:27" ht="26.25" thickBot="1" x14ac:dyDescent="0.3">
      <c r="J12" s="23">
        <v>7</v>
      </c>
      <c r="K12" s="24">
        <v>13500</v>
      </c>
      <c r="L12" s="24">
        <v>60</v>
      </c>
      <c r="M12" s="24">
        <v>17000</v>
      </c>
      <c r="N12" s="24">
        <v>60</v>
      </c>
      <c r="O12" s="24">
        <v>18000</v>
      </c>
      <c r="P12" s="24">
        <v>70</v>
      </c>
      <c r="Q12" s="24">
        <v>36000</v>
      </c>
      <c r="R12" s="24">
        <f t="shared" si="1"/>
        <v>1.8450980400142569</v>
      </c>
      <c r="S12" s="24">
        <f t="shared" si="0"/>
        <v>4.5563025007672868</v>
      </c>
      <c r="T12" s="24">
        <v>5</v>
      </c>
      <c r="U12" s="24">
        <v>4800</v>
      </c>
      <c r="V12" s="24">
        <v>15</v>
      </c>
      <c r="W12" s="24">
        <v>3700</v>
      </c>
      <c r="Y12" s="10" t="s">
        <v>72</v>
      </c>
      <c r="Z12" s="8" t="s">
        <v>73</v>
      </c>
      <c r="AA12" s="17">
        <v>20000</v>
      </c>
    </row>
    <row r="13" spans="1:27" ht="26.25" thickBot="1" x14ac:dyDescent="0.3">
      <c r="E13" s="14" t="s">
        <v>30</v>
      </c>
      <c r="F13" s="12" t="s">
        <v>31</v>
      </c>
      <c r="J13" s="23">
        <v>6.5</v>
      </c>
      <c r="K13" s="24">
        <v>11300</v>
      </c>
      <c r="L13" s="24">
        <v>55</v>
      </c>
      <c r="M13" s="24">
        <v>14400</v>
      </c>
      <c r="N13" s="24">
        <v>55</v>
      </c>
      <c r="O13" s="24">
        <v>15500</v>
      </c>
      <c r="P13" s="24">
        <v>65</v>
      </c>
      <c r="Q13" s="24">
        <v>33800</v>
      </c>
      <c r="R13" s="24">
        <f t="shared" si="1"/>
        <v>1.8129133566428555</v>
      </c>
      <c r="S13" s="24">
        <f t="shared" si="0"/>
        <v>4.5289167002776551</v>
      </c>
      <c r="T13" s="24">
        <v>-5.5</v>
      </c>
      <c r="U13" s="24">
        <v>3200</v>
      </c>
      <c r="V13" s="24">
        <v>-17.5</v>
      </c>
      <c r="W13" s="24">
        <v>3200</v>
      </c>
      <c r="Y13" s="10" t="s">
        <v>74</v>
      </c>
      <c r="Z13" s="8" t="s">
        <v>75</v>
      </c>
      <c r="AA13" s="17">
        <v>17000</v>
      </c>
    </row>
    <row r="14" spans="1:27" ht="26.25" thickBot="1" x14ac:dyDescent="0.3">
      <c r="E14" s="76">
        <v>100</v>
      </c>
      <c r="F14" s="8" t="s">
        <v>32</v>
      </c>
      <c r="J14" s="23">
        <v>6</v>
      </c>
      <c r="K14" s="24">
        <v>9400</v>
      </c>
      <c r="L14" s="24">
        <v>50</v>
      </c>
      <c r="M14" s="24">
        <v>12200</v>
      </c>
      <c r="N14" s="24">
        <v>50</v>
      </c>
      <c r="O14" s="24">
        <v>13400</v>
      </c>
      <c r="P14" s="24">
        <v>60</v>
      </c>
      <c r="Q14" s="24">
        <v>31200</v>
      </c>
      <c r="R14" s="24">
        <f t="shared" si="1"/>
        <v>1.7781512503836436</v>
      </c>
      <c r="S14" s="24">
        <f t="shared" si="0"/>
        <v>4.4941545940184424</v>
      </c>
      <c r="T14" s="24">
        <v>6</v>
      </c>
      <c r="U14" s="24">
        <v>2080</v>
      </c>
      <c r="V14" s="24">
        <v>20</v>
      </c>
      <c r="W14" s="24">
        <v>2500</v>
      </c>
      <c r="Y14" s="10" t="s">
        <v>76</v>
      </c>
      <c r="Z14" s="8" t="s">
        <v>77</v>
      </c>
      <c r="AA14" s="17">
        <v>12000</v>
      </c>
    </row>
    <row r="15" spans="1:27" ht="26.25" thickBot="1" x14ac:dyDescent="0.3">
      <c r="E15" s="77"/>
      <c r="F15" s="13" t="s">
        <v>33</v>
      </c>
      <c r="J15" s="23">
        <v>5.5</v>
      </c>
      <c r="K15" s="24">
        <v>7900</v>
      </c>
      <c r="L15" s="24">
        <v>45</v>
      </c>
      <c r="M15" s="24">
        <v>10100</v>
      </c>
      <c r="N15" s="24">
        <v>45</v>
      </c>
      <c r="O15" s="24">
        <v>11500</v>
      </c>
      <c r="P15" s="24">
        <v>55</v>
      </c>
      <c r="Q15" s="24">
        <v>29200</v>
      </c>
      <c r="R15" s="24">
        <f t="shared" si="1"/>
        <v>1.7403626894942439</v>
      </c>
      <c r="S15" s="24">
        <f t="shared" si="0"/>
        <v>4.4653828514484184</v>
      </c>
      <c r="T15" s="89"/>
      <c r="U15" s="90"/>
      <c r="V15" s="90"/>
      <c r="W15" s="91"/>
      <c r="Y15" s="10" t="s">
        <v>78</v>
      </c>
      <c r="Z15" s="8" t="s">
        <v>79</v>
      </c>
      <c r="AA15" s="17">
        <v>8000</v>
      </c>
    </row>
    <row r="16" spans="1:27" ht="26.25" thickBot="1" x14ac:dyDescent="0.3">
      <c r="E16" s="76">
        <v>30</v>
      </c>
      <c r="F16" s="8" t="s">
        <v>34</v>
      </c>
      <c r="J16" s="23">
        <v>5</v>
      </c>
      <c r="K16" s="24">
        <v>6400</v>
      </c>
      <c r="L16" s="24">
        <v>40</v>
      </c>
      <c r="M16" s="24">
        <v>8800</v>
      </c>
      <c r="N16" s="24">
        <v>40</v>
      </c>
      <c r="O16" s="24">
        <v>9600</v>
      </c>
      <c r="P16" s="24">
        <v>50</v>
      </c>
      <c r="Q16" s="24">
        <v>27900</v>
      </c>
      <c r="R16" s="24">
        <f t="shared" si="1"/>
        <v>1.6989700043360187</v>
      </c>
      <c r="S16" s="24">
        <f t="shared" si="0"/>
        <v>4.4456042032735974</v>
      </c>
      <c r="T16" s="92"/>
      <c r="U16" s="93"/>
      <c r="V16" s="93"/>
      <c r="W16" s="94"/>
      <c r="Y16" s="110" t="s">
        <v>14</v>
      </c>
      <c r="Z16" s="111"/>
      <c r="AA16" s="112"/>
    </row>
    <row r="17" spans="5:27" ht="26.25" thickBot="1" x14ac:dyDescent="0.3">
      <c r="E17" s="77"/>
      <c r="F17" s="13" t="s">
        <v>35</v>
      </c>
      <c r="J17" s="23">
        <v>4.5</v>
      </c>
      <c r="K17" s="24">
        <v>5200</v>
      </c>
      <c r="L17" s="24">
        <v>35</v>
      </c>
      <c r="M17" s="24">
        <v>7400</v>
      </c>
      <c r="N17" s="24">
        <v>35</v>
      </c>
      <c r="O17" s="24">
        <v>8200</v>
      </c>
      <c r="P17" s="24">
        <v>45</v>
      </c>
      <c r="Q17" s="24">
        <v>25400</v>
      </c>
      <c r="R17" s="24">
        <f t="shared" si="1"/>
        <v>1.6532125137753437</v>
      </c>
      <c r="S17" s="24">
        <f t="shared" si="0"/>
        <v>4.4048337166199385</v>
      </c>
      <c r="T17" s="92"/>
      <c r="U17" s="93"/>
      <c r="V17" s="93"/>
      <c r="W17" s="94"/>
      <c r="Y17" s="10" t="s">
        <v>16</v>
      </c>
      <c r="Z17" s="8" t="s">
        <v>80</v>
      </c>
      <c r="AA17" s="17">
        <v>41000</v>
      </c>
    </row>
    <row r="18" spans="5:27" ht="26.25" thickBot="1" x14ac:dyDescent="0.3">
      <c r="E18" s="76">
        <v>20</v>
      </c>
      <c r="F18" s="8" t="s">
        <v>36</v>
      </c>
      <c r="J18" s="23">
        <v>4</v>
      </c>
      <c r="K18" s="24">
        <v>4400</v>
      </c>
      <c r="L18" s="24">
        <v>30</v>
      </c>
      <c r="M18" s="24">
        <v>6000</v>
      </c>
      <c r="N18" s="24">
        <v>30</v>
      </c>
      <c r="O18" s="24">
        <v>6800</v>
      </c>
      <c r="P18" s="24">
        <v>40</v>
      </c>
      <c r="Q18" s="24">
        <v>23900</v>
      </c>
      <c r="R18" s="24">
        <f t="shared" si="1"/>
        <v>1.6020599913279623</v>
      </c>
      <c r="S18" s="24">
        <f t="shared" si="0"/>
        <v>4.378397900948138</v>
      </c>
      <c r="T18" s="92"/>
      <c r="U18" s="93"/>
      <c r="V18" s="93"/>
      <c r="W18" s="94"/>
      <c r="Y18" s="10" t="s">
        <v>17</v>
      </c>
      <c r="Z18" s="8" t="s">
        <v>59</v>
      </c>
      <c r="AA18" s="17">
        <v>38000</v>
      </c>
    </row>
    <row r="19" spans="5:27" ht="26.25" thickBot="1" x14ac:dyDescent="0.3">
      <c r="E19" s="77"/>
      <c r="F19" s="13" t="s">
        <v>37</v>
      </c>
      <c r="J19" s="23">
        <v>3.5</v>
      </c>
      <c r="K19" s="24">
        <v>3700</v>
      </c>
      <c r="L19" s="24">
        <v>25</v>
      </c>
      <c r="M19" s="24">
        <v>5000</v>
      </c>
      <c r="N19" s="24">
        <v>25</v>
      </c>
      <c r="O19" s="24">
        <v>4750</v>
      </c>
      <c r="P19" s="24">
        <v>35</v>
      </c>
      <c r="Q19" s="24">
        <v>21500</v>
      </c>
      <c r="R19" s="24">
        <f t="shared" si="1"/>
        <v>1.5440680443502757</v>
      </c>
      <c r="S19" s="24">
        <f t="shared" si="0"/>
        <v>4.3324384599156049</v>
      </c>
      <c r="T19" s="92"/>
      <c r="U19" s="93"/>
      <c r="V19" s="93"/>
      <c r="W19" s="94"/>
      <c r="Y19" s="10" t="s">
        <v>18</v>
      </c>
      <c r="Z19" s="8" t="s">
        <v>81</v>
      </c>
      <c r="AA19" s="17">
        <v>38500</v>
      </c>
    </row>
    <row r="20" spans="5:27" ht="26.25" thickBot="1" x14ac:dyDescent="0.3">
      <c r="E20" s="76">
        <v>10</v>
      </c>
      <c r="F20" s="8" t="s">
        <v>38</v>
      </c>
      <c r="J20" s="23">
        <v>3</v>
      </c>
      <c r="K20" s="24">
        <v>3000</v>
      </c>
      <c r="L20" s="24">
        <v>20</v>
      </c>
      <c r="M20" s="24">
        <v>4600</v>
      </c>
      <c r="N20" s="24">
        <v>20</v>
      </c>
      <c r="O20" s="24">
        <v>4900</v>
      </c>
      <c r="P20" s="24">
        <v>30</v>
      </c>
      <c r="Q20" s="24">
        <v>19800</v>
      </c>
      <c r="R20" s="24">
        <f t="shared" si="1"/>
        <v>1.4771212547196624</v>
      </c>
      <c r="S20" s="24">
        <f t="shared" si="0"/>
        <v>4.2966651902615309</v>
      </c>
      <c r="T20" s="92"/>
      <c r="U20" s="93"/>
      <c r="V20" s="93"/>
      <c r="W20" s="94"/>
      <c r="Y20" s="10" t="s">
        <v>19</v>
      </c>
      <c r="Z20" s="8" t="s">
        <v>82</v>
      </c>
      <c r="AA20" s="17">
        <v>31000</v>
      </c>
    </row>
    <row r="21" spans="5:27" ht="26.25" thickBot="1" x14ac:dyDescent="0.3">
      <c r="E21" s="77"/>
      <c r="F21" s="15" t="s">
        <v>39</v>
      </c>
      <c r="J21" s="23">
        <v>2.5</v>
      </c>
      <c r="K21" s="24">
        <v>2700</v>
      </c>
      <c r="L21" s="24">
        <v>15</v>
      </c>
      <c r="M21" s="24">
        <v>3600</v>
      </c>
      <c r="N21" s="24">
        <v>15</v>
      </c>
      <c r="O21" s="24">
        <v>4200</v>
      </c>
      <c r="P21" s="24">
        <v>25</v>
      </c>
      <c r="Q21" s="24">
        <v>17000</v>
      </c>
      <c r="R21" s="24">
        <f t="shared" si="1"/>
        <v>1.3979400086720377</v>
      </c>
      <c r="S21" s="24">
        <f t="shared" si="0"/>
        <v>4.2304489213782741</v>
      </c>
      <c r="T21" s="92"/>
      <c r="U21" s="93"/>
      <c r="V21" s="93"/>
      <c r="W21" s="94"/>
      <c r="Y21" s="10" t="s">
        <v>83</v>
      </c>
      <c r="Z21" s="8" t="s">
        <v>84</v>
      </c>
      <c r="AA21" s="17">
        <v>38500</v>
      </c>
    </row>
    <row r="22" spans="5:27" ht="26.25" thickBot="1" x14ac:dyDescent="0.3">
      <c r="J22" s="23">
        <v>2</v>
      </c>
      <c r="K22" s="24">
        <v>2080</v>
      </c>
      <c r="L22" s="24">
        <v>10</v>
      </c>
      <c r="M22" s="24">
        <v>3100</v>
      </c>
      <c r="N22" s="24">
        <v>10</v>
      </c>
      <c r="O22" s="24">
        <v>3600</v>
      </c>
      <c r="P22" s="24">
        <v>20</v>
      </c>
      <c r="Q22" s="24">
        <v>15000</v>
      </c>
      <c r="R22" s="24">
        <f t="shared" si="1"/>
        <v>1.3010299956639813</v>
      </c>
      <c r="S22" s="24">
        <f t="shared" si="0"/>
        <v>4.1760912590556813</v>
      </c>
      <c r="T22" s="92"/>
      <c r="U22" s="93"/>
      <c r="V22" s="93"/>
      <c r="W22" s="94"/>
      <c r="Y22" s="10" t="s">
        <v>85</v>
      </c>
      <c r="Z22" s="8" t="s">
        <v>86</v>
      </c>
      <c r="AA22" s="17">
        <v>36000</v>
      </c>
    </row>
    <row r="23" spans="5:27" ht="26.25" thickBot="1" x14ac:dyDescent="0.3">
      <c r="J23" s="23">
        <v>1.5</v>
      </c>
      <c r="K23" s="24">
        <v>1700</v>
      </c>
      <c r="L23" s="24">
        <v>5</v>
      </c>
      <c r="M23" s="24">
        <v>2550</v>
      </c>
      <c r="N23" s="24">
        <v>5</v>
      </c>
      <c r="O23" s="24">
        <v>3000</v>
      </c>
      <c r="P23" s="24">
        <v>15</v>
      </c>
      <c r="Q23" s="24">
        <v>12000</v>
      </c>
      <c r="R23" s="24">
        <f t="shared" si="1"/>
        <v>1.1760912590556813</v>
      </c>
      <c r="S23" s="24">
        <f t="shared" si="0"/>
        <v>4.0791812460476251</v>
      </c>
      <c r="T23" s="92"/>
      <c r="U23" s="93"/>
      <c r="V23" s="93"/>
      <c r="W23" s="94"/>
      <c r="Y23" s="10" t="s">
        <v>87</v>
      </c>
      <c r="Z23" s="8" t="s">
        <v>88</v>
      </c>
      <c r="AA23" s="17">
        <v>34500</v>
      </c>
    </row>
    <row r="24" spans="5:27" ht="26.25" thickBot="1" x14ac:dyDescent="0.3">
      <c r="J24" s="23">
        <v>1</v>
      </c>
      <c r="K24" s="24">
        <v>1460</v>
      </c>
      <c r="L24" s="24">
        <v>0</v>
      </c>
      <c r="M24" s="24">
        <v>2150</v>
      </c>
      <c r="N24" s="24">
        <v>0</v>
      </c>
      <c r="O24" s="24">
        <v>2580</v>
      </c>
      <c r="P24" s="24">
        <v>10</v>
      </c>
      <c r="Q24" s="24">
        <v>9600</v>
      </c>
      <c r="R24" s="24">
        <f t="shared" si="1"/>
        <v>1</v>
      </c>
      <c r="S24" s="24">
        <f t="shared" si="0"/>
        <v>3.9822712330395684</v>
      </c>
      <c r="T24" s="92"/>
      <c r="U24" s="93"/>
      <c r="V24" s="93"/>
      <c r="W24" s="94"/>
      <c r="Y24" s="10" t="s">
        <v>89</v>
      </c>
      <c r="Z24" s="8" t="s">
        <v>90</v>
      </c>
      <c r="AA24" s="17">
        <v>34000</v>
      </c>
    </row>
    <row r="25" spans="5:27" ht="26.25" thickBot="1" x14ac:dyDescent="0.3">
      <c r="J25" s="89"/>
      <c r="K25" s="90"/>
      <c r="L25" s="90"/>
      <c r="M25" s="90"/>
      <c r="N25" s="90"/>
      <c r="O25" s="91"/>
      <c r="P25" s="24">
        <v>9.5</v>
      </c>
      <c r="Q25" s="24">
        <v>9200</v>
      </c>
      <c r="R25" s="24">
        <f t="shared" si="1"/>
        <v>0.97772360528884772</v>
      </c>
      <c r="S25" s="24">
        <f t="shared" si="0"/>
        <v>3.9637878273455551</v>
      </c>
      <c r="T25" s="92"/>
      <c r="U25" s="93"/>
      <c r="V25" s="93"/>
      <c r="W25" s="94"/>
      <c r="Y25" s="10" t="s">
        <v>20</v>
      </c>
      <c r="Z25" s="8" t="s">
        <v>61</v>
      </c>
      <c r="AA25" s="17">
        <v>32000</v>
      </c>
    </row>
    <row r="26" spans="5:27" ht="26.25" thickBot="1" x14ac:dyDescent="0.3">
      <c r="J26" s="92"/>
      <c r="K26" s="93"/>
      <c r="L26" s="93"/>
      <c r="M26" s="93"/>
      <c r="N26" s="93"/>
      <c r="O26" s="94"/>
      <c r="P26" s="24">
        <v>9</v>
      </c>
      <c r="Q26" s="24">
        <v>9000</v>
      </c>
      <c r="R26" s="24">
        <f t="shared" si="1"/>
        <v>0.95424250943932487</v>
      </c>
      <c r="S26" s="24">
        <f t="shared" si="0"/>
        <v>3.9542425094393248</v>
      </c>
      <c r="T26" s="92"/>
      <c r="U26" s="93"/>
      <c r="V26" s="93"/>
      <c r="W26" s="94"/>
      <c r="Y26" s="10" t="s">
        <v>21</v>
      </c>
      <c r="Z26" s="8" t="s">
        <v>63</v>
      </c>
      <c r="AA26" s="17">
        <v>28000</v>
      </c>
    </row>
    <row r="27" spans="5:27" ht="26.25" thickBot="1" x14ac:dyDescent="0.3">
      <c r="J27" s="92"/>
      <c r="K27" s="93"/>
      <c r="L27" s="93"/>
      <c r="M27" s="93"/>
      <c r="N27" s="93"/>
      <c r="O27" s="94"/>
      <c r="P27" s="24">
        <v>8.5</v>
      </c>
      <c r="Q27" s="24">
        <v>8600</v>
      </c>
      <c r="R27" s="24">
        <f t="shared" si="1"/>
        <v>0.92941892571429274</v>
      </c>
      <c r="S27" s="24">
        <f t="shared" si="0"/>
        <v>3.9344984512435679</v>
      </c>
      <c r="T27" s="92"/>
      <c r="U27" s="93"/>
      <c r="V27" s="93"/>
      <c r="W27" s="94"/>
      <c r="Y27" s="10" t="s">
        <v>22</v>
      </c>
      <c r="Z27" s="8" t="s">
        <v>61</v>
      </c>
      <c r="AA27" s="17">
        <v>32000</v>
      </c>
    </row>
    <row r="28" spans="5:27" ht="26.25" thickBot="1" x14ac:dyDescent="0.3">
      <c r="J28" s="92"/>
      <c r="K28" s="93"/>
      <c r="L28" s="93"/>
      <c r="M28" s="93"/>
      <c r="N28" s="93"/>
      <c r="O28" s="94"/>
      <c r="P28" s="24">
        <v>8</v>
      </c>
      <c r="Q28" s="24">
        <v>8200</v>
      </c>
      <c r="R28" s="24">
        <f t="shared" si="1"/>
        <v>0.90308998699194354</v>
      </c>
      <c r="S28" s="24">
        <f t="shared" si="0"/>
        <v>3.9138138523837167</v>
      </c>
      <c r="T28" s="92"/>
      <c r="U28" s="93"/>
      <c r="V28" s="93"/>
      <c r="W28" s="94"/>
      <c r="Y28" s="10" t="s">
        <v>23</v>
      </c>
      <c r="Z28" s="8" t="s">
        <v>67</v>
      </c>
      <c r="AA28" s="17">
        <v>24000</v>
      </c>
    </row>
    <row r="29" spans="5:27" ht="26.25" thickBot="1" x14ac:dyDescent="0.3">
      <c r="J29" s="92"/>
      <c r="K29" s="93"/>
      <c r="L29" s="93"/>
      <c r="M29" s="93"/>
      <c r="N29" s="93"/>
      <c r="O29" s="94"/>
      <c r="P29" s="24">
        <v>7.5</v>
      </c>
      <c r="Q29" s="24">
        <v>7800</v>
      </c>
      <c r="R29" s="24">
        <f t="shared" si="1"/>
        <v>0.87506126339170009</v>
      </c>
      <c r="S29" s="24">
        <f t="shared" si="0"/>
        <v>3.8920946026904804</v>
      </c>
      <c r="T29" s="92"/>
      <c r="U29" s="93"/>
      <c r="V29" s="93"/>
      <c r="W29" s="94"/>
      <c r="Y29" s="10" t="s">
        <v>91</v>
      </c>
      <c r="Z29" s="8" t="s">
        <v>63</v>
      </c>
      <c r="AA29" s="17">
        <v>28000</v>
      </c>
    </row>
    <row r="30" spans="5:27" ht="26.25" thickBot="1" x14ac:dyDescent="0.3">
      <c r="J30" s="92"/>
      <c r="K30" s="93"/>
      <c r="L30" s="93"/>
      <c r="M30" s="93"/>
      <c r="N30" s="93"/>
      <c r="O30" s="94"/>
      <c r="P30" s="24">
        <v>7</v>
      </c>
      <c r="Q30" s="24">
        <v>7450</v>
      </c>
      <c r="R30" s="24">
        <f t="shared" si="1"/>
        <v>0.84509804001425681</v>
      </c>
      <c r="S30" s="24">
        <f t="shared" si="0"/>
        <v>3.8721562727482928</v>
      </c>
      <c r="T30" s="92"/>
      <c r="U30" s="93"/>
      <c r="V30" s="93"/>
      <c r="W30" s="94"/>
      <c r="Y30" s="10" t="s">
        <v>92</v>
      </c>
      <c r="Z30" s="8" t="s">
        <v>63</v>
      </c>
      <c r="AA30" s="17">
        <v>28000</v>
      </c>
    </row>
    <row r="31" spans="5:27" ht="26.25" thickBot="1" x14ac:dyDescent="0.3">
      <c r="J31" s="92"/>
      <c r="K31" s="93"/>
      <c r="L31" s="93"/>
      <c r="M31" s="93"/>
      <c r="N31" s="93"/>
      <c r="O31" s="94"/>
      <c r="P31" s="24">
        <v>6.5</v>
      </c>
      <c r="Q31" s="24">
        <v>7000</v>
      </c>
      <c r="R31" s="24">
        <f t="shared" si="1"/>
        <v>0.81291335664285558</v>
      </c>
      <c r="S31" s="24">
        <f t="shared" si="0"/>
        <v>3.8450980400142569</v>
      </c>
      <c r="T31" s="92"/>
      <c r="U31" s="93"/>
      <c r="V31" s="93"/>
      <c r="W31" s="94"/>
      <c r="Y31" s="10" t="s">
        <v>93</v>
      </c>
      <c r="Z31" s="8" t="s">
        <v>65</v>
      </c>
      <c r="AA31" s="17">
        <v>25500</v>
      </c>
    </row>
    <row r="32" spans="5:27" ht="26.25" thickBot="1" x14ac:dyDescent="0.3">
      <c r="J32" s="92"/>
      <c r="K32" s="93"/>
      <c r="L32" s="93"/>
      <c r="M32" s="93"/>
      <c r="N32" s="93"/>
      <c r="O32" s="94"/>
      <c r="P32" s="24">
        <v>6</v>
      </c>
      <c r="Q32" s="24">
        <v>6600</v>
      </c>
      <c r="R32" s="24">
        <f t="shared" si="1"/>
        <v>0.77815125038364363</v>
      </c>
      <c r="S32" s="24">
        <f t="shared" si="0"/>
        <v>3.8195439355418688</v>
      </c>
      <c r="T32" s="92"/>
      <c r="U32" s="93"/>
      <c r="V32" s="93"/>
      <c r="W32" s="94"/>
      <c r="Y32" s="10" t="s">
        <v>94</v>
      </c>
      <c r="Z32" s="8" t="s">
        <v>65</v>
      </c>
      <c r="AA32" s="17">
        <v>25500</v>
      </c>
    </row>
    <row r="33" spans="10:27" ht="26.25" thickBot="1" x14ac:dyDescent="0.3">
      <c r="J33" s="92"/>
      <c r="K33" s="93"/>
      <c r="L33" s="93"/>
      <c r="M33" s="93"/>
      <c r="N33" s="93"/>
      <c r="O33" s="94"/>
      <c r="P33" s="24">
        <v>5.5</v>
      </c>
      <c r="Q33" s="24">
        <v>6200</v>
      </c>
      <c r="R33" s="24">
        <f t="shared" si="1"/>
        <v>0.74036268949424389</v>
      </c>
      <c r="S33" s="24">
        <f t="shared" si="0"/>
        <v>3.7923916894982539</v>
      </c>
      <c r="T33" s="92"/>
      <c r="U33" s="93"/>
      <c r="V33" s="93"/>
      <c r="W33" s="94"/>
      <c r="Y33" s="10" t="s">
        <v>24</v>
      </c>
      <c r="Z33" s="8" t="s">
        <v>73</v>
      </c>
      <c r="AA33" s="17">
        <v>20000</v>
      </c>
    </row>
    <row r="34" spans="10:27" ht="26.25" thickBot="1" x14ac:dyDescent="0.3">
      <c r="J34" s="92"/>
      <c r="K34" s="93"/>
      <c r="L34" s="93"/>
      <c r="M34" s="93"/>
      <c r="N34" s="93"/>
      <c r="O34" s="94"/>
      <c r="P34" s="24">
        <v>5</v>
      </c>
      <c r="Q34" s="24">
        <v>5800</v>
      </c>
      <c r="R34" s="24">
        <f t="shared" si="1"/>
        <v>0.69897000433601886</v>
      </c>
      <c r="S34" s="24">
        <f t="shared" si="0"/>
        <v>3.7634279935629373</v>
      </c>
      <c r="T34" s="92"/>
      <c r="U34" s="93"/>
      <c r="V34" s="93"/>
      <c r="W34" s="94"/>
      <c r="Y34" s="10" t="s">
        <v>25</v>
      </c>
      <c r="Z34" s="8" t="s">
        <v>75</v>
      </c>
      <c r="AA34" s="17">
        <v>17000</v>
      </c>
    </row>
    <row r="35" spans="10:27" ht="26.25" thickBot="1" x14ac:dyDescent="0.3">
      <c r="J35" s="92"/>
      <c r="K35" s="93"/>
      <c r="L35" s="93"/>
      <c r="M35" s="93"/>
      <c r="N35" s="93"/>
      <c r="O35" s="94"/>
      <c r="P35" s="24">
        <v>4.5</v>
      </c>
      <c r="Q35" s="24">
        <v>5200</v>
      </c>
      <c r="R35" s="24">
        <f t="shared" si="1"/>
        <v>0.65321251377534373</v>
      </c>
      <c r="S35" s="24">
        <f t="shared" si="0"/>
        <v>3.716003343634799</v>
      </c>
      <c r="T35" s="92"/>
      <c r="U35" s="93"/>
      <c r="V35" s="93"/>
      <c r="W35" s="94"/>
      <c r="Y35" s="10" t="s">
        <v>27</v>
      </c>
      <c r="Z35" s="8" t="s">
        <v>77</v>
      </c>
      <c r="AA35" s="17">
        <v>11500</v>
      </c>
    </row>
    <row r="36" spans="10:27" ht="26.25" thickBot="1" x14ac:dyDescent="0.3">
      <c r="J36" s="92"/>
      <c r="K36" s="93"/>
      <c r="L36" s="93"/>
      <c r="M36" s="93"/>
      <c r="N36" s="93"/>
      <c r="O36" s="94"/>
      <c r="P36" s="24">
        <v>4</v>
      </c>
      <c r="Q36" s="24">
        <v>4900</v>
      </c>
      <c r="R36" s="24">
        <f t="shared" si="1"/>
        <v>0.6020599913279624</v>
      </c>
      <c r="S36" s="24">
        <f t="shared" si="0"/>
        <v>3.6901960800285138</v>
      </c>
      <c r="T36" s="92"/>
      <c r="U36" s="93"/>
      <c r="V36" s="93"/>
      <c r="W36" s="94"/>
      <c r="Y36" s="11" t="s">
        <v>28</v>
      </c>
      <c r="Z36" s="18" t="s">
        <v>79</v>
      </c>
      <c r="AA36" s="19">
        <v>8000</v>
      </c>
    </row>
    <row r="37" spans="10:27" ht="15.75" thickBot="1" x14ac:dyDescent="0.3">
      <c r="J37" s="92"/>
      <c r="K37" s="93"/>
      <c r="L37" s="93"/>
      <c r="M37" s="93"/>
      <c r="N37" s="93"/>
      <c r="O37" s="94"/>
      <c r="P37" s="24">
        <v>3.5</v>
      </c>
      <c r="Q37" s="24">
        <v>4500</v>
      </c>
      <c r="R37" s="24">
        <f t="shared" si="1"/>
        <v>0.54406804435027567</v>
      </c>
      <c r="S37" s="24">
        <f t="shared" si="0"/>
        <v>3.6532125137753435</v>
      </c>
      <c r="T37" s="92"/>
      <c r="U37" s="93"/>
      <c r="V37" s="93"/>
      <c r="W37" s="94"/>
    </row>
    <row r="38" spans="10:27" ht="51.75" thickBot="1" x14ac:dyDescent="0.3">
      <c r="J38" s="92"/>
      <c r="K38" s="93"/>
      <c r="L38" s="93"/>
      <c r="M38" s="93"/>
      <c r="N38" s="93"/>
      <c r="O38" s="94"/>
      <c r="P38" s="24">
        <v>3</v>
      </c>
      <c r="Q38" s="24">
        <v>4100</v>
      </c>
      <c r="R38" s="24">
        <f t="shared" si="1"/>
        <v>0.47712125471966244</v>
      </c>
      <c r="S38" s="24">
        <f t="shared" si="0"/>
        <v>3.6127838567197355</v>
      </c>
      <c r="T38" s="92"/>
      <c r="U38" s="93"/>
      <c r="V38" s="93"/>
      <c r="W38" s="94"/>
      <c r="Y38" s="20" t="s">
        <v>95</v>
      </c>
    </row>
    <row r="39" spans="10:27" ht="15.75" thickBot="1" x14ac:dyDescent="0.3">
      <c r="J39" s="92"/>
      <c r="K39" s="93"/>
      <c r="L39" s="93"/>
      <c r="M39" s="93"/>
      <c r="N39" s="93"/>
      <c r="O39" s="94"/>
      <c r="P39" s="24">
        <v>2.5</v>
      </c>
      <c r="Q39" s="24">
        <v>3500</v>
      </c>
      <c r="R39" s="24">
        <f t="shared" si="1"/>
        <v>0.3979400086720376</v>
      </c>
      <c r="S39" s="24">
        <f t="shared" si="0"/>
        <v>3.5440680443502757</v>
      </c>
      <c r="T39" s="92"/>
      <c r="U39" s="93"/>
      <c r="V39" s="93"/>
      <c r="W39" s="94"/>
    </row>
    <row r="40" spans="10:27" ht="15.75" thickBot="1" x14ac:dyDescent="0.3">
      <c r="J40" s="92"/>
      <c r="K40" s="93"/>
      <c r="L40" s="93"/>
      <c r="M40" s="93"/>
      <c r="N40" s="93"/>
      <c r="O40" s="94"/>
      <c r="P40" s="24">
        <v>2</v>
      </c>
      <c r="Q40" s="24">
        <v>3050</v>
      </c>
      <c r="R40" s="24">
        <f t="shared" si="1"/>
        <v>0.3010299956639812</v>
      </c>
      <c r="S40" s="24">
        <f t="shared" si="0"/>
        <v>3.4842998393467859</v>
      </c>
      <c r="T40" s="92"/>
      <c r="U40" s="93"/>
      <c r="V40" s="93"/>
      <c r="W40" s="94"/>
    </row>
    <row r="41" spans="10:27" ht="15.75" thickBot="1" x14ac:dyDescent="0.3">
      <c r="J41" s="92"/>
      <c r="K41" s="93"/>
      <c r="L41" s="93"/>
      <c r="M41" s="93"/>
      <c r="N41" s="93"/>
      <c r="O41" s="94"/>
      <c r="P41" s="24">
        <v>1.5</v>
      </c>
      <c r="Q41" s="24">
        <v>2400</v>
      </c>
      <c r="R41" s="24">
        <f t="shared" si="1"/>
        <v>0.17609125905568124</v>
      </c>
      <c r="S41" s="24">
        <f t="shared" si="0"/>
        <v>3.3802112417116059</v>
      </c>
      <c r="T41" s="92"/>
      <c r="U41" s="93"/>
      <c r="V41" s="93"/>
      <c r="W41" s="94"/>
    </row>
    <row r="42" spans="10:27" ht="15.75" thickBot="1" x14ac:dyDescent="0.3">
      <c r="J42" s="95"/>
      <c r="K42" s="96"/>
      <c r="L42" s="96"/>
      <c r="M42" s="96"/>
      <c r="N42" s="96"/>
      <c r="O42" s="97"/>
      <c r="P42" s="25">
        <v>1</v>
      </c>
      <c r="Q42" s="25">
        <v>1890</v>
      </c>
      <c r="R42" s="24">
        <f t="shared" si="1"/>
        <v>0</v>
      </c>
      <c r="S42" s="24">
        <f t="shared" si="0"/>
        <v>3.2764618041732443</v>
      </c>
      <c r="T42" s="95"/>
      <c r="U42" s="96"/>
      <c r="V42" s="96"/>
      <c r="W42" s="97"/>
    </row>
  </sheetData>
  <mergeCells count="17">
    <mergeCell ref="Y1:AA1"/>
    <mergeCell ref="Y3:AA3"/>
    <mergeCell ref="Y16:AA16"/>
    <mergeCell ref="E18:E19"/>
    <mergeCell ref="E20:E21"/>
    <mergeCell ref="J1:W1"/>
    <mergeCell ref="J3:W3"/>
    <mergeCell ref="J4:W4"/>
    <mergeCell ref="J5:W5"/>
    <mergeCell ref="T15:W42"/>
    <mergeCell ref="J25:O42"/>
    <mergeCell ref="A1:H1"/>
    <mergeCell ref="A3:H3"/>
    <mergeCell ref="E8:H10"/>
    <mergeCell ref="C9:D10"/>
    <mergeCell ref="E14:E15"/>
    <mergeCell ref="E16:E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1C32-AD2A-41DC-A5AF-9F7F7A97DA36}">
  <dimension ref="A1:R68"/>
  <sheetViews>
    <sheetView topLeftCell="E43" workbookViewId="0">
      <selection activeCell="P39" sqref="P39"/>
    </sheetView>
  </sheetViews>
  <sheetFormatPr defaultRowHeight="15" x14ac:dyDescent="0.25"/>
  <sheetData>
    <row r="1" spans="1:18" x14ac:dyDescent="0.25">
      <c r="A1" t="s">
        <v>148</v>
      </c>
      <c r="E1">
        <v>97.4</v>
      </c>
      <c r="F1">
        <v>1.6</v>
      </c>
      <c r="I1" t="s">
        <v>263</v>
      </c>
    </row>
    <row r="2" spans="1:18" x14ac:dyDescent="0.25">
      <c r="A2" t="s">
        <v>159</v>
      </c>
      <c r="E2">
        <v>91.9</v>
      </c>
      <c r="F2">
        <v>1.5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4</v>
      </c>
    </row>
    <row r="3" spans="1:18" x14ac:dyDescent="0.25">
      <c r="A3" t="s">
        <v>160</v>
      </c>
      <c r="E3">
        <v>87.2</v>
      </c>
      <c r="F3">
        <v>1.35</v>
      </c>
      <c r="I3">
        <v>9</v>
      </c>
      <c r="J3" t="s">
        <v>289</v>
      </c>
      <c r="K3" t="s">
        <v>290</v>
      </c>
      <c r="L3">
        <v>53.31</v>
      </c>
      <c r="M3">
        <v>73.37</v>
      </c>
      <c r="N3">
        <v>15.7</v>
      </c>
      <c r="O3">
        <v>3.5548000000000002</v>
      </c>
      <c r="P3">
        <v>13</v>
      </c>
      <c r="Q3">
        <v>28</v>
      </c>
      <c r="R3">
        <f t="shared" ref="R3:R17" si="0">25.4/O3</f>
        <v>7.145268369528524</v>
      </c>
    </row>
    <row r="4" spans="1:18" x14ac:dyDescent="0.25">
      <c r="A4" t="s">
        <v>163</v>
      </c>
      <c r="E4">
        <v>82</v>
      </c>
      <c r="F4">
        <v>2.7</v>
      </c>
      <c r="I4">
        <v>1</v>
      </c>
      <c r="J4" t="s">
        <v>273</v>
      </c>
      <c r="K4" t="s">
        <v>274</v>
      </c>
      <c r="L4">
        <v>61.38</v>
      </c>
      <c r="M4">
        <v>73.37</v>
      </c>
      <c r="N4">
        <v>19.399999999999999</v>
      </c>
      <c r="O4">
        <v>1.4539</v>
      </c>
      <c r="P4">
        <v>19</v>
      </c>
      <c r="R4">
        <f t="shared" si="0"/>
        <v>17.470252424513376</v>
      </c>
    </row>
    <row r="5" spans="1:18" x14ac:dyDescent="0.25">
      <c r="A5" t="s">
        <v>170</v>
      </c>
      <c r="E5">
        <v>79.900000000000006</v>
      </c>
      <c r="F5">
        <v>2.2200000000000002</v>
      </c>
      <c r="I5">
        <v>6</v>
      </c>
      <c r="J5" t="s">
        <v>283</v>
      </c>
      <c r="K5" t="s">
        <v>284</v>
      </c>
      <c r="L5">
        <v>78.099999999999994</v>
      </c>
      <c r="M5">
        <v>81.03</v>
      </c>
      <c r="N5">
        <v>18.7</v>
      </c>
      <c r="O5">
        <v>4.3278999999999996</v>
      </c>
      <c r="P5">
        <v>20</v>
      </c>
      <c r="Q5">
        <v>46</v>
      </c>
      <c r="R5">
        <f t="shared" si="0"/>
        <v>5.8688971556644098</v>
      </c>
    </row>
    <row r="6" spans="1:18" x14ac:dyDescent="0.25">
      <c r="A6" t="s">
        <v>167</v>
      </c>
      <c r="E6">
        <v>77.900000000000006</v>
      </c>
      <c r="F6">
        <v>1.3</v>
      </c>
      <c r="I6">
        <v>4</v>
      </c>
      <c r="J6" t="s">
        <v>279</v>
      </c>
      <c r="K6" t="s">
        <v>280</v>
      </c>
      <c r="L6">
        <v>73.42</v>
      </c>
      <c r="M6">
        <v>86.34</v>
      </c>
      <c r="N6">
        <v>36.200000000000003</v>
      </c>
      <c r="O6">
        <v>3.8382999999999998</v>
      </c>
      <c r="P6">
        <v>22</v>
      </c>
      <c r="Q6">
        <v>10</v>
      </c>
      <c r="R6">
        <f t="shared" si="0"/>
        <v>6.617512961467316</v>
      </c>
    </row>
    <row r="7" spans="1:18" x14ac:dyDescent="0.25">
      <c r="A7" t="s">
        <v>158</v>
      </c>
      <c r="E7">
        <v>51.8</v>
      </c>
      <c r="F7">
        <v>5.21</v>
      </c>
      <c r="I7">
        <v>7</v>
      </c>
      <c r="J7" t="s">
        <v>285</v>
      </c>
      <c r="K7" t="s">
        <v>286</v>
      </c>
      <c r="L7">
        <v>100.85</v>
      </c>
      <c r="M7">
        <v>135.74</v>
      </c>
      <c r="N7">
        <v>38.1</v>
      </c>
      <c r="O7">
        <v>7.2915000000000001</v>
      </c>
      <c r="P7">
        <v>28</v>
      </c>
      <c r="Q7">
        <v>69</v>
      </c>
      <c r="R7">
        <f t="shared" si="0"/>
        <v>3.4835081944730164</v>
      </c>
    </row>
    <row r="8" spans="1:18" x14ac:dyDescent="0.25">
      <c r="A8" t="s">
        <v>164</v>
      </c>
      <c r="E8">
        <v>51.6</v>
      </c>
      <c r="F8">
        <v>4.46</v>
      </c>
      <c r="I8">
        <v>5</v>
      </c>
      <c r="J8" t="s">
        <v>281</v>
      </c>
      <c r="K8" t="s">
        <v>282</v>
      </c>
      <c r="L8">
        <v>95.94</v>
      </c>
      <c r="M8">
        <v>129.01</v>
      </c>
      <c r="N8">
        <v>58.8</v>
      </c>
      <c r="O8">
        <v>9.8122000000000007</v>
      </c>
      <c r="P8">
        <v>31</v>
      </c>
      <c r="Q8">
        <v>43</v>
      </c>
      <c r="R8">
        <f t="shared" si="0"/>
        <v>2.5886141741913127</v>
      </c>
    </row>
    <row r="9" spans="1:18" x14ac:dyDescent="0.25">
      <c r="A9" t="s">
        <v>171</v>
      </c>
      <c r="E9">
        <v>47.5</v>
      </c>
      <c r="F9">
        <v>4.3099999999999996</v>
      </c>
      <c r="I9">
        <v>2</v>
      </c>
      <c r="J9" t="s">
        <v>275</v>
      </c>
      <c r="K9" t="s">
        <v>276</v>
      </c>
      <c r="L9">
        <v>122.15</v>
      </c>
      <c r="M9">
        <v>189.11</v>
      </c>
      <c r="N9">
        <v>57.1</v>
      </c>
      <c r="O9">
        <v>8.0709</v>
      </c>
      <c r="P9">
        <v>38</v>
      </c>
      <c r="Q9">
        <v>28</v>
      </c>
      <c r="R9">
        <f t="shared" si="0"/>
        <v>3.1471087487145173</v>
      </c>
    </row>
    <row r="10" spans="1:18" x14ac:dyDescent="0.25">
      <c r="A10" t="s">
        <v>161</v>
      </c>
      <c r="E10">
        <v>38.799999999999997</v>
      </c>
      <c r="F10">
        <v>3.93</v>
      </c>
      <c r="I10">
        <v>3</v>
      </c>
      <c r="J10" t="s">
        <v>277</v>
      </c>
      <c r="K10" t="s">
        <v>278</v>
      </c>
      <c r="L10">
        <v>56.87</v>
      </c>
      <c r="M10">
        <v>57.88</v>
      </c>
      <c r="N10">
        <v>13.9</v>
      </c>
      <c r="O10">
        <v>1.7035</v>
      </c>
      <c r="P10">
        <v>56</v>
      </c>
      <c r="Q10">
        <v>56</v>
      </c>
      <c r="R10">
        <f t="shared" si="0"/>
        <v>14.910478426768417</v>
      </c>
    </row>
    <row r="11" spans="1:18" x14ac:dyDescent="0.25">
      <c r="A11" t="s">
        <v>150</v>
      </c>
      <c r="E11">
        <v>28.8</v>
      </c>
      <c r="F11">
        <v>4.5999999999999996</v>
      </c>
      <c r="I11">
        <v>11</v>
      </c>
      <c r="J11" t="s">
        <v>293</v>
      </c>
      <c r="K11" t="s">
        <v>294</v>
      </c>
      <c r="L11">
        <v>39.979999999999997</v>
      </c>
      <c r="M11">
        <v>44.13</v>
      </c>
      <c r="N11">
        <v>10</v>
      </c>
      <c r="O11">
        <v>1.0436000000000001</v>
      </c>
      <c r="P11">
        <v>57</v>
      </c>
      <c r="Q11">
        <v>56</v>
      </c>
      <c r="R11">
        <f t="shared" si="0"/>
        <v>24.338827136834034</v>
      </c>
    </row>
    <row r="12" spans="1:18" x14ac:dyDescent="0.25">
      <c r="A12" t="s">
        <v>156</v>
      </c>
      <c r="E12">
        <v>27.7</v>
      </c>
      <c r="F12">
        <v>5.75</v>
      </c>
      <c r="I12">
        <v>14</v>
      </c>
      <c r="J12" t="s">
        <v>296</v>
      </c>
      <c r="K12" t="s">
        <v>297</v>
      </c>
      <c r="L12">
        <v>74.349999999999994</v>
      </c>
      <c r="M12">
        <v>86.65</v>
      </c>
      <c r="N12">
        <v>42</v>
      </c>
      <c r="O12">
        <v>4.6473000000000004</v>
      </c>
      <c r="P12">
        <v>67</v>
      </c>
      <c r="Q12">
        <v>69</v>
      </c>
      <c r="R12">
        <f t="shared" si="0"/>
        <v>5.4655391302476701</v>
      </c>
    </row>
    <row r="13" spans="1:18" x14ac:dyDescent="0.25">
      <c r="A13" t="s">
        <v>154</v>
      </c>
      <c r="E13">
        <v>20.5</v>
      </c>
      <c r="F13">
        <v>12.7</v>
      </c>
      <c r="I13">
        <v>10</v>
      </c>
      <c r="J13" t="s">
        <v>291</v>
      </c>
      <c r="K13" t="s">
        <v>292</v>
      </c>
      <c r="L13">
        <v>72.8</v>
      </c>
      <c r="M13">
        <v>86.62</v>
      </c>
      <c r="N13">
        <v>19.2</v>
      </c>
      <c r="O13">
        <v>5.008</v>
      </c>
      <c r="P13">
        <v>73</v>
      </c>
      <c r="Q13">
        <v>69</v>
      </c>
      <c r="R13">
        <f t="shared" si="0"/>
        <v>5.0718849840255587</v>
      </c>
    </row>
    <row r="14" spans="1:18" x14ac:dyDescent="0.25">
      <c r="A14" t="s">
        <v>166</v>
      </c>
      <c r="E14">
        <v>18.899999999999999</v>
      </c>
      <c r="F14">
        <v>11.7</v>
      </c>
      <c r="I14">
        <v>8</v>
      </c>
      <c r="J14" t="s">
        <v>287</v>
      </c>
      <c r="K14" t="s">
        <v>288</v>
      </c>
      <c r="L14">
        <v>116.76</v>
      </c>
      <c r="M14">
        <v>121.81</v>
      </c>
      <c r="N14">
        <v>31.3</v>
      </c>
      <c r="O14">
        <v>4.6592000000000002</v>
      </c>
      <c r="P14">
        <v>78</v>
      </c>
      <c r="Q14">
        <v>69</v>
      </c>
      <c r="R14">
        <f t="shared" si="0"/>
        <v>5.4515796703296697</v>
      </c>
    </row>
    <row r="15" spans="1:18" x14ac:dyDescent="0.25">
      <c r="A15" t="s">
        <v>151</v>
      </c>
      <c r="E15">
        <v>85.2</v>
      </c>
      <c r="F15">
        <v>1.49</v>
      </c>
      <c r="I15">
        <v>13</v>
      </c>
      <c r="J15" t="s">
        <v>281</v>
      </c>
      <c r="K15" t="s">
        <v>295</v>
      </c>
      <c r="L15">
        <v>100.95</v>
      </c>
      <c r="M15">
        <v>93.48</v>
      </c>
      <c r="N15">
        <v>31.2</v>
      </c>
      <c r="O15">
        <v>4.7918000000000003</v>
      </c>
      <c r="P15">
        <v>78</v>
      </c>
      <c r="Q15">
        <v>72</v>
      </c>
      <c r="R15">
        <f t="shared" si="0"/>
        <v>5.3007220668642256</v>
      </c>
    </row>
    <row r="16" spans="1:18" x14ac:dyDescent="0.25">
      <c r="A16" t="s">
        <v>169</v>
      </c>
      <c r="E16">
        <v>82.2</v>
      </c>
      <c r="F16">
        <v>1.98</v>
      </c>
      <c r="I16">
        <v>12</v>
      </c>
      <c r="J16" t="s">
        <v>281</v>
      </c>
      <c r="K16" t="s">
        <v>295</v>
      </c>
      <c r="L16">
        <v>92.58</v>
      </c>
      <c r="M16">
        <v>102.59</v>
      </c>
      <c r="N16">
        <v>33.4</v>
      </c>
      <c r="O16">
        <v>9.4219000000000008</v>
      </c>
      <c r="P16">
        <v>82</v>
      </c>
      <c r="Q16">
        <v>69</v>
      </c>
      <c r="R16">
        <f t="shared" si="0"/>
        <v>2.695846909858945</v>
      </c>
    </row>
    <row r="17" spans="1:18" x14ac:dyDescent="0.25">
      <c r="A17" t="s">
        <v>174</v>
      </c>
      <c r="E17">
        <v>81.8</v>
      </c>
      <c r="F17">
        <v>2.34</v>
      </c>
      <c r="I17">
        <v>15</v>
      </c>
      <c r="J17" t="s">
        <v>298</v>
      </c>
      <c r="K17" t="s">
        <v>297</v>
      </c>
      <c r="L17">
        <v>26.45</v>
      </c>
      <c r="M17">
        <v>27.52</v>
      </c>
      <c r="N17">
        <v>22.4</v>
      </c>
      <c r="O17">
        <v>2.4765999999999999</v>
      </c>
      <c r="R17">
        <f t="shared" si="0"/>
        <v>10.255996123718001</v>
      </c>
    </row>
    <row r="18" spans="1:18" x14ac:dyDescent="0.25">
      <c r="A18" t="s">
        <v>173</v>
      </c>
      <c r="E18">
        <v>80.7</v>
      </c>
      <c r="F18">
        <v>2.16</v>
      </c>
    </row>
    <row r="19" spans="1:18" x14ac:dyDescent="0.25">
      <c r="A19" t="s">
        <v>175</v>
      </c>
      <c r="E19">
        <v>51.2</v>
      </c>
      <c r="F19">
        <v>4.1900000000000004</v>
      </c>
    </row>
    <row r="20" spans="1:18" x14ac:dyDescent="0.25">
      <c r="A20" t="s">
        <v>157</v>
      </c>
      <c r="E20">
        <v>49</v>
      </c>
      <c r="F20">
        <v>4.32</v>
      </c>
    </row>
    <row r="21" spans="1:18" x14ac:dyDescent="0.25">
      <c r="A21" t="s">
        <v>162</v>
      </c>
      <c r="E21">
        <v>45.5</v>
      </c>
      <c r="F21">
        <v>3.65</v>
      </c>
    </row>
    <row r="22" spans="1:18" x14ac:dyDescent="0.25">
      <c r="A22" t="s">
        <v>152</v>
      </c>
      <c r="E22">
        <v>42.5</v>
      </c>
      <c r="F22">
        <v>3.42</v>
      </c>
    </row>
    <row r="23" spans="1:18" x14ac:dyDescent="0.25">
      <c r="A23" t="s">
        <v>168</v>
      </c>
      <c r="E23">
        <v>41.8</v>
      </c>
      <c r="F23">
        <v>4.3600000000000003</v>
      </c>
    </row>
    <row r="24" spans="1:18" x14ac:dyDescent="0.25">
      <c r="A24" t="s">
        <v>172</v>
      </c>
      <c r="E24">
        <v>40.5</v>
      </c>
      <c r="F24">
        <v>3.62</v>
      </c>
    </row>
    <row r="25" spans="1:18" x14ac:dyDescent="0.25">
      <c r="A25" t="s">
        <v>149</v>
      </c>
      <c r="E25">
        <v>39.700000000000003</v>
      </c>
      <c r="F25">
        <v>4.2699999999999996</v>
      </c>
    </row>
    <row r="26" spans="1:18" x14ac:dyDescent="0.25">
      <c r="A26" t="s">
        <v>153</v>
      </c>
      <c r="E26">
        <v>35.799999999999997</v>
      </c>
      <c r="F26">
        <v>3.46</v>
      </c>
    </row>
    <row r="27" spans="1:18" x14ac:dyDescent="0.25">
      <c r="A27" t="s">
        <v>155</v>
      </c>
      <c r="E27">
        <v>21.9</v>
      </c>
      <c r="F27">
        <v>8.16</v>
      </c>
    </row>
    <row r="28" spans="1:18" x14ac:dyDescent="0.25">
      <c r="A28" t="s">
        <v>165</v>
      </c>
      <c r="E28">
        <v>19.5</v>
      </c>
      <c r="F28">
        <v>8.91</v>
      </c>
    </row>
    <row r="29" spans="1:18" x14ac:dyDescent="0.25">
      <c r="E29">
        <v>23.9</v>
      </c>
      <c r="F29">
        <v>3.46</v>
      </c>
    </row>
    <row r="30" spans="1:18" x14ac:dyDescent="0.25">
      <c r="E30">
        <v>21.5</v>
      </c>
      <c r="F30">
        <v>4.24</v>
      </c>
    </row>
    <row r="31" spans="1:18" x14ac:dyDescent="0.25">
      <c r="E31">
        <v>21</v>
      </c>
      <c r="F31">
        <v>4.49</v>
      </c>
    </row>
    <row r="32" spans="1:18" x14ac:dyDescent="0.25">
      <c r="E32">
        <v>19.100000000000001</v>
      </c>
      <c r="F32">
        <v>4.53</v>
      </c>
    </row>
    <row r="33" spans="5:17" x14ac:dyDescent="0.25">
      <c r="E33">
        <v>18.899999999999999</v>
      </c>
      <c r="F33">
        <v>4.09</v>
      </c>
    </row>
    <row r="34" spans="5:17" x14ac:dyDescent="0.25">
      <c r="E34">
        <v>18.2</v>
      </c>
      <c r="F34">
        <v>3.94</v>
      </c>
    </row>
    <row r="35" spans="5:17" x14ac:dyDescent="0.25">
      <c r="E35">
        <v>17.5</v>
      </c>
      <c r="F35">
        <v>5.0999999999999996</v>
      </c>
    </row>
    <row r="36" spans="5:17" x14ac:dyDescent="0.25">
      <c r="E36">
        <v>16.3</v>
      </c>
      <c r="F36">
        <v>6.18</v>
      </c>
    </row>
    <row r="37" spans="5:17" x14ac:dyDescent="0.25">
      <c r="E37">
        <v>16.100000000000001</v>
      </c>
      <c r="F37">
        <v>6.29</v>
      </c>
      <c r="J37" t="s">
        <v>346</v>
      </c>
    </row>
    <row r="38" spans="5:17" x14ac:dyDescent="0.25">
      <c r="E38">
        <v>32.1</v>
      </c>
      <c r="F38">
        <v>4.46</v>
      </c>
      <c r="J38" t="s">
        <v>308</v>
      </c>
    </row>
    <row r="39" spans="5:17" x14ac:dyDescent="0.25">
      <c r="E39">
        <v>28.27</v>
      </c>
      <c r="F39">
        <v>6.14</v>
      </c>
      <c r="J39" t="s">
        <v>309</v>
      </c>
      <c r="K39" t="s">
        <v>310</v>
      </c>
      <c r="L39" t="s">
        <v>311</v>
      </c>
      <c r="M39" t="s">
        <v>312</v>
      </c>
      <c r="N39" t="s">
        <v>111</v>
      </c>
      <c r="O39" t="s">
        <v>313</v>
      </c>
      <c r="P39" t="s">
        <v>314</v>
      </c>
      <c r="Q39" t="s">
        <v>315</v>
      </c>
    </row>
    <row r="40" spans="5:17" x14ac:dyDescent="0.25">
      <c r="J40" t="s">
        <v>316</v>
      </c>
      <c r="K40" t="s">
        <v>28</v>
      </c>
      <c r="L40">
        <v>16.5</v>
      </c>
      <c r="M40">
        <v>14.6</v>
      </c>
      <c r="N40">
        <v>1.2</v>
      </c>
      <c r="O40">
        <v>4.0000000000000001E-3</v>
      </c>
      <c r="P40">
        <v>0.52</v>
      </c>
      <c r="Q40">
        <v>9.6300000000000008</v>
      </c>
    </row>
    <row r="41" spans="5:17" x14ac:dyDescent="0.25">
      <c r="J41" t="s">
        <v>317</v>
      </c>
      <c r="K41" t="s">
        <v>28</v>
      </c>
      <c r="L41">
        <v>16.8</v>
      </c>
      <c r="M41">
        <v>14.5</v>
      </c>
      <c r="N41">
        <v>2</v>
      </c>
      <c r="O41">
        <v>8.0000000000000002E-3</v>
      </c>
      <c r="P41">
        <v>0.57999999999999996</v>
      </c>
      <c r="Q41">
        <v>7.42</v>
      </c>
    </row>
    <row r="42" spans="5:17" x14ac:dyDescent="0.25">
      <c r="J42" t="s">
        <v>318</v>
      </c>
      <c r="K42" t="s">
        <v>28</v>
      </c>
      <c r="L42">
        <v>17.899999999999999</v>
      </c>
      <c r="M42">
        <v>13.6</v>
      </c>
      <c r="N42">
        <v>2.2799999999999998</v>
      </c>
      <c r="O42">
        <v>1.2999999999999999E-2</v>
      </c>
      <c r="P42">
        <v>0.62</v>
      </c>
      <c r="Q42">
        <v>6.39</v>
      </c>
    </row>
    <row r="43" spans="5:17" x14ac:dyDescent="0.25">
      <c r="J43" t="s">
        <v>319</v>
      </c>
      <c r="K43" t="s">
        <v>320</v>
      </c>
      <c r="L43">
        <v>18.5</v>
      </c>
      <c r="M43">
        <v>12.5</v>
      </c>
      <c r="N43">
        <v>3.1</v>
      </c>
      <c r="O43">
        <v>4.7E-2</v>
      </c>
      <c r="P43">
        <v>0.75</v>
      </c>
      <c r="Q43">
        <v>5.25</v>
      </c>
    </row>
    <row r="44" spans="5:17" x14ac:dyDescent="0.25">
      <c r="J44" t="s">
        <v>321</v>
      </c>
      <c r="K44" t="s">
        <v>322</v>
      </c>
      <c r="L44">
        <v>18.55</v>
      </c>
      <c r="M44">
        <v>11.9</v>
      </c>
      <c r="N44">
        <v>3.5</v>
      </c>
      <c r="O44">
        <v>4.8000000000000001E-2</v>
      </c>
      <c r="P44">
        <v>0.78</v>
      </c>
      <c r="Q44">
        <v>3.98</v>
      </c>
    </row>
    <row r="45" spans="5:17" x14ac:dyDescent="0.25">
      <c r="J45" t="s">
        <v>323</v>
      </c>
      <c r="K45" t="s">
        <v>320</v>
      </c>
      <c r="L45">
        <v>18.600000000000001</v>
      </c>
      <c r="M45">
        <v>12.7</v>
      </c>
      <c r="N45">
        <v>3.47</v>
      </c>
      <c r="O45">
        <v>4.9000000000000002E-2</v>
      </c>
      <c r="P45">
        <v>0.81</v>
      </c>
      <c r="Q45">
        <v>4.95</v>
      </c>
    </row>
    <row r="46" spans="5:17" x14ac:dyDescent="0.25">
      <c r="J46" t="s">
        <v>324</v>
      </c>
      <c r="K46" t="s">
        <v>320</v>
      </c>
      <c r="L46">
        <v>18.899999999999999</v>
      </c>
      <c r="M46">
        <v>13</v>
      </c>
      <c r="N46">
        <v>3.59</v>
      </c>
      <c r="O46">
        <v>5.1999999999999998E-2</v>
      </c>
      <c r="P46">
        <v>0.93</v>
      </c>
      <c r="Q46">
        <v>4</v>
      </c>
    </row>
    <row r="47" spans="5:17" x14ac:dyDescent="0.25">
      <c r="J47" t="s">
        <v>325</v>
      </c>
      <c r="K47" t="s">
        <v>320</v>
      </c>
      <c r="L47">
        <v>19.100000000000001</v>
      </c>
      <c r="M47">
        <v>10.7</v>
      </c>
      <c r="N47">
        <v>3.9</v>
      </c>
      <c r="O47">
        <v>5.3999999999999999E-2</v>
      </c>
      <c r="P47">
        <v>0.94</v>
      </c>
      <c r="Q47">
        <v>3.72</v>
      </c>
    </row>
    <row r="48" spans="5:17" x14ac:dyDescent="0.25">
      <c r="J48" t="s">
        <v>326</v>
      </c>
      <c r="K48" t="s">
        <v>23</v>
      </c>
      <c r="L48">
        <v>19.3</v>
      </c>
      <c r="M48">
        <v>10.4</v>
      </c>
      <c r="N48">
        <v>4.2</v>
      </c>
      <c r="O48">
        <v>5.6000000000000001E-2</v>
      </c>
      <c r="P48">
        <v>0.96</v>
      </c>
      <c r="Q48">
        <v>3.55</v>
      </c>
    </row>
    <row r="49" spans="10:17" x14ac:dyDescent="0.25">
      <c r="J49" t="s">
        <v>327</v>
      </c>
      <c r="K49" t="s">
        <v>320</v>
      </c>
      <c r="L49">
        <v>19.399999999999999</v>
      </c>
      <c r="M49">
        <v>10.5</v>
      </c>
      <c r="N49">
        <v>4.5</v>
      </c>
      <c r="O49">
        <v>5.8000000000000003E-2</v>
      </c>
      <c r="P49">
        <v>0.98</v>
      </c>
      <c r="Q49">
        <v>3.75</v>
      </c>
    </row>
    <row r="50" spans="10:17" x14ac:dyDescent="0.25">
      <c r="J50" t="s">
        <v>328</v>
      </c>
      <c r="K50" t="s">
        <v>320</v>
      </c>
      <c r="L50">
        <v>19.399999999999999</v>
      </c>
      <c r="M50">
        <v>12.8</v>
      </c>
      <c r="N50">
        <v>4.5999999999999996</v>
      </c>
      <c r="O50">
        <v>6.2E-2</v>
      </c>
      <c r="P50">
        <v>1.01</v>
      </c>
      <c r="Q50">
        <v>3.35</v>
      </c>
    </row>
    <row r="51" spans="10:17" x14ac:dyDescent="0.25">
      <c r="J51" t="s">
        <v>329</v>
      </c>
      <c r="K51" t="s">
        <v>320</v>
      </c>
      <c r="L51">
        <v>19.399999999999999</v>
      </c>
      <c r="M51">
        <v>11</v>
      </c>
      <c r="N51">
        <v>4.5999999999999996</v>
      </c>
      <c r="O51">
        <v>6.2E-2</v>
      </c>
      <c r="P51">
        <v>1.02</v>
      </c>
      <c r="Q51">
        <v>3.34</v>
      </c>
    </row>
    <row r="52" spans="10:17" x14ac:dyDescent="0.25">
      <c r="J52" t="s">
        <v>330</v>
      </c>
      <c r="K52" t="s">
        <v>320</v>
      </c>
      <c r="L52">
        <v>19.45</v>
      </c>
      <c r="M52">
        <v>11.6</v>
      </c>
      <c r="N52">
        <v>4.5999999999999996</v>
      </c>
      <c r="O52">
        <v>6.6000000000000003E-2</v>
      </c>
      <c r="P52">
        <v>1.03</v>
      </c>
      <c r="Q52">
        <v>3.35</v>
      </c>
    </row>
    <row r="53" spans="10:17" x14ac:dyDescent="0.25">
      <c r="J53" t="s">
        <v>331</v>
      </c>
      <c r="K53" t="s">
        <v>320</v>
      </c>
      <c r="L53">
        <v>19.5</v>
      </c>
      <c r="M53">
        <v>10.6</v>
      </c>
      <c r="N53">
        <v>4.9000000000000004</v>
      </c>
      <c r="O53">
        <v>6.9000000000000006E-2</v>
      </c>
      <c r="P53">
        <v>1.06</v>
      </c>
      <c r="Q53">
        <v>3.22</v>
      </c>
    </row>
    <row r="54" spans="10:17" x14ac:dyDescent="0.25">
      <c r="J54" t="s">
        <v>332</v>
      </c>
      <c r="K54" t="s">
        <v>23</v>
      </c>
      <c r="L54">
        <v>19.5</v>
      </c>
      <c r="M54">
        <v>10.4</v>
      </c>
      <c r="N54">
        <v>5</v>
      </c>
      <c r="O54">
        <v>7.4999999999999997E-2</v>
      </c>
      <c r="P54">
        <v>1.08</v>
      </c>
      <c r="Q54">
        <v>3.21</v>
      </c>
    </row>
    <row r="55" spans="10:17" x14ac:dyDescent="0.25">
      <c r="J55" t="s">
        <v>333</v>
      </c>
      <c r="K55" t="s">
        <v>25</v>
      </c>
      <c r="L55">
        <v>19.600000000000001</v>
      </c>
      <c r="M55">
        <v>10.1</v>
      </c>
      <c r="N55">
        <v>5.5</v>
      </c>
      <c r="O55">
        <v>0.08</v>
      </c>
      <c r="P55">
        <v>1.1399999999999999</v>
      </c>
      <c r="Q55">
        <v>3.02</v>
      </c>
    </row>
    <row r="56" spans="10:17" x14ac:dyDescent="0.25">
      <c r="J56" t="s">
        <v>334</v>
      </c>
      <c r="K56" t="s">
        <v>213</v>
      </c>
      <c r="L56">
        <v>19.7</v>
      </c>
      <c r="M56">
        <v>9.8000000000000007</v>
      </c>
      <c r="N56">
        <v>5.8</v>
      </c>
      <c r="O56">
        <v>8.1000000000000003E-2</v>
      </c>
      <c r="P56">
        <v>1.18</v>
      </c>
      <c r="Q56">
        <v>2.93</v>
      </c>
    </row>
    <row r="57" spans="10:17" x14ac:dyDescent="0.25">
      <c r="J57" t="s">
        <v>335</v>
      </c>
      <c r="K57" t="s">
        <v>213</v>
      </c>
      <c r="L57">
        <v>19.8</v>
      </c>
      <c r="M57">
        <v>10</v>
      </c>
      <c r="N57">
        <v>5.9</v>
      </c>
      <c r="O57">
        <v>8.7999999999999995E-2</v>
      </c>
      <c r="P57">
        <v>1.2</v>
      </c>
      <c r="Q57">
        <v>2.84</v>
      </c>
    </row>
    <row r="58" spans="10:17" x14ac:dyDescent="0.25">
      <c r="J58" t="s">
        <v>336</v>
      </c>
      <c r="K58" t="s">
        <v>320</v>
      </c>
      <c r="L58">
        <v>19.899999999999999</v>
      </c>
      <c r="M58">
        <v>12.5</v>
      </c>
      <c r="N58">
        <v>6.5</v>
      </c>
      <c r="O58">
        <v>9.2999999999999999E-2</v>
      </c>
      <c r="P58">
        <v>1.27</v>
      </c>
      <c r="Q58">
        <v>2.68</v>
      </c>
    </row>
    <row r="59" spans="10:17" x14ac:dyDescent="0.25">
      <c r="J59" t="s">
        <v>337</v>
      </c>
      <c r="K59" t="s">
        <v>25</v>
      </c>
      <c r="L59">
        <v>19.899999999999999</v>
      </c>
      <c r="M59">
        <v>10.4</v>
      </c>
      <c r="N59">
        <v>6.6</v>
      </c>
      <c r="O59">
        <v>0.10199999999999999</v>
      </c>
      <c r="P59">
        <v>1.28</v>
      </c>
      <c r="Q59">
        <v>2.65</v>
      </c>
    </row>
    <row r="60" spans="10:17" x14ac:dyDescent="0.25">
      <c r="J60" t="s">
        <v>338</v>
      </c>
      <c r="K60" t="s">
        <v>23</v>
      </c>
      <c r="L60">
        <v>20.100000000000001</v>
      </c>
      <c r="M60">
        <v>10</v>
      </c>
      <c r="N60">
        <v>7.8</v>
      </c>
      <c r="O60">
        <v>0.16800000000000001</v>
      </c>
      <c r="P60">
        <v>1.46</v>
      </c>
      <c r="Q60">
        <v>2.39</v>
      </c>
    </row>
    <row r="61" spans="10:17" x14ac:dyDescent="0.25">
      <c r="J61" t="s">
        <v>339</v>
      </c>
      <c r="K61" t="s">
        <v>25</v>
      </c>
      <c r="L61">
        <v>20.3</v>
      </c>
      <c r="M61">
        <v>10</v>
      </c>
      <c r="N61">
        <v>8.1</v>
      </c>
      <c r="O61">
        <v>0.17899999999999999</v>
      </c>
      <c r="P61">
        <v>1.5</v>
      </c>
      <c r="Q61">
        <v>2.3199999999999998</v>
      </c>
    </row>
    <row r="62" spans="10:17" x14ac:dyDescent="0.25">
      <c r="J62" t="s">
        <v>340</v>
      </c>
      <c r="K62" t="s">
        <v>23</v>
      </c>
      <c r="L62">
        <v>20.350000000000001</v>
      </c>
      <c r="M62">
        <v>9.6999999999999993</v>
      </c>
      <c r="N62">
        <v>8.3000000000000007</v>
      </c>
      <c r="O62">
        <v>0.18099999999999999</v>
      </c>
      <c r="P62">
        <v>1.53</v>
      </c>
      <c r="Q62">
        <v>2.29</v>
      </c>
    </row>
    <row r="63" spans="10:17" x14ac:dyDescent="0.25">
      <c r="J63" t="s">
        <v>336</v>
      </c>
      <c r="K63" t="s">
        <v>341</v>
      </c>
      <c r="L63">
        <v>20.399999999999999</v>
      </c>
      <c r="M63">
        <v>7.5</v>
      </c>
      <c r="N63">
        <v>8.5</v>
      </c>
      <c r="O63">
        <v>0.19500000000000001</v>
      </c>
      <c r="P63">
        <v>1.56</v>
      </c>
      <c r="Q63">
        <v>2.2200000000000002</v>
      </c>
    </row>
    <row r="64" spans="10:17" x14ac:dyDescent="0.25">
      <c r="J64" t="s">
        <v>342</v>
      </c>
      <c r="K64" t="s">
        <v>25</v>
      </c>
      <c r="L64">
        <v>19.899999999999999</v>
      </c>
      <c r="M64">
        <v>10.199999999999999</v>
      </c>
      <c r="N64">
        <v>8.9</v>
      </c>
      <c r="O64">
        <v>0.20499999999999999</v>
      </c>
      <c r="P64">
        <v>1.72</v>
      </c>
      <c r="Q64">
        <v>2.1800000000000002</v>
      </c>
    </row>
    <row r="65" spans="10:17" x14ac:dyDescent="0.25">
      <c r="J65" t="s">
        <v>336</v>
      </c>
      <c r="K65" t="s">
        <v>22</v>
      </c>
      <c r="L65">
        <v>20.5</v>
      </c>
      <c r="M65">
        <v>8</v>
      </c>
      <c r="N65">
        <v>9.5</v>
      </c>
      <c r="O65">
        <v>0.35899999999999999</v>
      </c>
      <c r="P65">
        <v>1.75</v>
      </c>
      <c r="Q65">
        <v>2.08</v>
      </c>
    </row>
    <row r="66" spans="10:17" x14ac:dyDescent="0.25">
      <c r="J66" t="s">
        <v>343</v>
      </c>
      <c r="K66" t="s">
        <v>23</v>
      </c>
      <c r="L66">
        <v>20.6</v>
      </c>
      <c r="M66">
        <v>9.6999999999999993</v>
      </c>
      <c r="N66">
        <v>10.5</v>
      </c>
      <c r="O66">
        <v>0.45800000000000002</v>
      </c>
      <c r="P66">
        <v>1.78</v>
      </c>
      <c r="Q66">
        <v>2.0299999999999998</v>
      </c>
    </row>
    <row r="67" spans="10:17" x14ac:dyDescent="0.25">
      <c r="J67" t="s">
        <v>344</v>
      </c>
      <c r="K67" t="s">
        <v>23</v>
      </c>
      <c r="L67">
        <v>20.8</v>
      </c>
      <c r="M67">
        <v>9.6</v>
      </c>
      <c r="N67">
        <v>12.9</v>
      </c>
      <c r="O67">
        <v>0.56899999999999995</v>
      </c>
      <c r="P67">
        <v>2.06</v>
      </c>
      <c r="Q67">
        <v>1.97</v>
      </c>
    </row>
    <row r="68" spans="10:17" x14ac:dyDescent="0.25">
      <c r="J68" t="s">
        <v>345</v>
      </c>
      <c r="K68" t="s">
        <v>23</v>
      </c>
      <c r="L68">
        <v>20.9</v>
      </c>
      <c r="M68">
        <v>8.6999999999999993</v>
      </c>
      <c r="N68">
        <v>15.1</v>
      </c>
      <c r="O68">
        <v>0.82799999999999996</v>
      </c>
      <c r="P68">
        <v>2.48</v>
      </c>
      <c r="Q68">
        <v>1.72</v>
      </c>
    </row>
  </sheetData>
  <sortState xmlns:xlrd2="http://schemas.microsoft.com/office/spreadsheetml/2017/richdata2" ref="I3:R17">
    <sortCondition ref="P3:P17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7179-095E-4DF9-B413-120D7D391FF6}">
  <dimension ref="A1:AZ81"/>
  <sheetViews>
    <sheetView workbookViewId="0">
      <pane xSplit="1" ySplit="3" topLeftCell="Y4" activePane="bottomRight" state="frozen"/>
      <selection pane="topRight" activeCell="B1" sqref="B1"/>
      <selection pane="bottomLeft" activeCell="A4" sqref="A4"/>
      <selection pane="bottomRight" activeCell="AS4" sqref="AS4"/>
    </sheetView>
  </sheetViews>
  <sheetFormatPr defaultRowHeight="15" x14ac:dyDescent="0.25"/>
  <cols>
    <col min="1" max="3" width="20.28515625" customWidth="1"/>
  </cols>
  <sheetData>
    <row r="1" spans="1:52" ht="15.75" thickBot="1" x14ac:dyDescent="0.3">
      <c r="A1" s="78" t="s">
        <v>51</v>
      </c>
      <c r="B1" s="79"/>
      <c r="C1" s="79"/>
      <c r="N1" s="115" t="s">
        <v>1</v>
      </c>
      <c r="O1" s="115"/>
      <c r="P1" s="115"/>
      <c r="Q1" s="115"/>
      <c r="R1" s="115"/>
      <c r="S1" s="115"/>
      <c r="T1" s="115"/>
      <c r="U1" s="115"/>
      <c r="V1" s="115"/>
      <c r="W1" s="115"/>
      <c r="X1" s="46"/>
      <c r="Y1" s="46"/>
      <c r="Z1" s="46"/>
      <c r="AA1" s="46"/>
      <c r="AD1" s="31" t="s">
        <v>261</v>
      </c>
      <c r="AE1" s="31"/>
      <c r="AF1" t="s">
        <v>2</v>
      </c>
      <c r="AN1" s="31" t="s">
        <v>261</v>
      </c>
      <c r="AO1" s="31"/>
    </row>
    <row r="2" spans="1:52" ht="74.25" customHeight="1" thickBot="1" x14ac:dyDescent="0.3">
      <c r="A2" s="9" t="s">
        <v>52</v>
      </c>
      <c r="B2" s="16" t="s">
        <v>53</v>
      </c>
      <c r="C2" s="7" t="s">
        <v>54</v>
      </c>
      <c r="D2" t="s">
        <v>353</v>
      </c>
      <c r="G2" t="s">
        <v>357</v>
      </c>
      <c r="J2" t="s">
        <v>123</v>
      </c>
      <c r="N2" s="114" t="s">
        <v>215</v>
      </c>
      <c r="O2" s="114"/>
      <c r="P2" s="114" t="s">
        <v>260</v>
      </c>
      <c r="Q2" s="114"/>
      <c r="R2" s="114" t="s">
        <v>216</v>
      </c>
      <c r="S2" s="114"/>
      <c r="T2" s="114" t="s">
        <v>217</v>
      </c>
      <c r="U2" s="114"/>
      <c r="V2" s="114" t="s">
        <v>218</v>
      </c>
      <c r="W2" s="114"/>
      <c r="X2" s="114" t="s">
        <v>359</v>
      </c>
      <c r="Y2" s="114"/>
      <c r="Z2" s="114" t="s">
        <v>358</v>
      </c>
      <c r="AA2" s="114"/>
      <c r="AB2" s="113" t="s">
        <v>259</v>
      </c>
      <c r="AC2" s="113"/>
      <c r="AD2" s="31"/>
      <c r="AE2" s="31"/>
      <c r="AI2" t="s">
        <v>262</v>
      </c>
      <c r="AK2" t="s">
        <v>352</v>
      </c>
      <c r="AL2" s="113" t="s">
        <v>259</v>
      </c>
      <c r="AM2" s="113"/>
      <c r="AN2" s="31"/>
      <c r="AO2" s="31"/>
      <c r="AU2" s="113" t="s">
        <v>363</v>
      </c>
      <c r="AV2" s="113"/>
      <c r="AW2" s="113"/>
      <c r="AX2" s="113" t="s">
        <v>363</v>
      </c>
      <c r="AY2" s="113"/>
      <c r="AZ2" s="113"/>
    </row>
    <row r="3" spans="1:52" ht="15.75" thickBot="1" x14ac:dyDescent="0.3">
      <c r="A3" s="110" t="s">
        <v>55</v>
      </c>
      <c r="B3" s="111"/>
      <c r="C3" s="112"/>
      <c r="D3" t="s">
        <v>143</v>
      </c>
      <c r="E3" t="s">
        <v>144</v>
      </c>
      <c r="F3" t="s">
        <v>354</v>
      </c>
      <c r="G3" t="s">
        <v>143</v>
      </c>
      <c r="H3" t="s">
        <v>144</v>
      </c>
      <c r="J3" t="s">
        <v>143</v>
      </c>
      <c r="K3" t="s">
        <v>144</v>
      </c>
      <c r="L3" t="s">
        <v>145</v>
      </c>
      <c r="M3" t="s">
        <v>147</v>
      </c>
      <c r="N3" s="38" t="s">
        <v>143</v>
      </c>
      <c r="O3" s="38" t="s">
        <v>144</v>
      </c>
      <c r="P3" s="38" t="s">
        <v>143</v>
      </c>
      <c r="Q3" s="38" t="s">
        <v>144</v>
      </c>
      <c r="R3" s="38" t="s">
        <v>143</v>
      </c>
      <c r="S3" s="38" t="s">
        <v>144</v>
      </c>
      <c r="T3" s="38" t="s">
        <v>143</v>
      </c>
      <c r="U3" s="38" t="s">
        <v>144</v>
      </c>
      <c r="V3" s="38" t="s">
        <v>143</v>
      </c>
      <c r="W3" s="38" t="s">
        <v>144</v>
      </c>
      <c r="X3" s="47" t="s">
        <v>143</v>
      </c>
      <c r="Y3" s="47" t="s">
        <v>144</v>
      </c>
      <c r="Z3" s="47" t="s">
        <v>143</v>
      </c>
      <c r="AA3" s="47" t="s">
        <v>144</v>
      </c>
      <c r="AB3" s="45" t="s">
        <v>143</v>
      </c>
      <c r="AC3" s="45" t="s">
        <v>144</v>
      </c>
      <c r="AD3" s="49" t="s">
        <v>143</v>
      </c>
      <c r="AE3" s="49" t="s">
        <v>144</v>
      </c>
      <c r="AF3" s="44" t="s">
        <v>143</v>
      </c>
      <c r="AG3" s="44" t="s">
        <v>144</v>
      </c>
      <c r="AH3" s="44" t="s">
        <v>145</v>
      </c>
      <c r="AI3" s="44" t="s">
        <v>143</v>
      </c>
      <c r="AJ3" s="44" t="s">
        <v>144</v>
      </c>
      <c r="AK3" s="44" t="s">
        <v>145</v>
      </c>
      <c r="AL3" s="47" t="s">
        <v>143</v>
      </c>
      <c r="AM3" s="47" t="s">
        <v>144</v>
      </c>
      <c r="AN3" s="49" t="s">
        <v>143</v>
      </c>
      <c r="AO3" s="49" t="s">
        <v>144</v>
      </c>
      <c r="AS3" s="31" cm="1">
        <f t="array" ref="AS3">10*SUM(AP4:AS40^2)/12/32</f>
        <v>0.12854039507068565</v>
      </c>
      <c r="AT3" t="str">
        <f>A3</f>
        <v>AASHTO Soil Class</v>
      </c>
      <c r="AU3" s="47" t="s">
        <v>143</v>
      </c>
      <c r="AV3" s="47" t="s">
        <v>144</v>
      </c>
      <c r="AW3" s="51" t="s">
        <v>364</v>
      </c>
      <c r="AX3" s="51" t="s">
        <v>143</v>
      </c>
      <c r="AY3" s="51" t="s">
        <v>144</v>
      </c>
      <c r="AZ3" s="51" t="s">
        <v>364</v>
      </c>
    </row>
    <row r="4" spans="1:52" ht="15.75" thickBot="1" x14ac:dyDescent="0.3">
      <c r="A4" s="21" t="s">
        <v>56</v>
      </c>
      <c r="B4" s="8" t="s">
        <v>57</v>
      </c>
      <c r="C4" s="17">
        <v>40000</v>
      </c>
      <c r="D4">
        <v>30</v>
      </c>
      <c r="E4">
        <v>42</v>
      </c>
      <c r="F4">
        <v>38</v>
      </c>
      <c r="J4">
        <f>MIN(D4*1000,VALUE(LEFT(B4,FIND("-",B4)-1)))*6.89476/1000</f>
        <v>206.84279999999998</v>
      </c>
      <c r="K4">
        <f t="shared" ref="K4:K15" si="0">MAX(E4*1000,VALUE(RIGHT(B4,LEN(B4)-FIND("-",B4))))*6.89476/1000</f>
        <v>289.57991999999996</v>
      </c>
      <c r="L4">
        <f>AVERAGE(VALUE(C4),F4*1000)*6.89476/1000</f>
        <v>268.89564000000001</v>
      </c>
      <c r="N4" s="45"/>
      <c r="O4" s="45"/>
      <c r="P4" s="45"/>
      <c r="Q4" s="45"/>
      <c r="R4" s="45"/>
      <c r="S4" s="45"/>
      <c r="T4" s="45"/>
      <c r="U4" s="45"/>
      <c r="V4">
        <v>60</v>
      </c>
      <c r="W4">
        <v>80</v>
      </c>
      <c r="X4">
        <v>38</v>
      </c>
      <c r="Y4">
        <v>100</v>
      </c>
      <c r="Z4">
        <v>45</v>
      </c>
      <c r="AA4">
        <v>100</v>
      </c>
      <c r="AB4">
        <f t="shared" ref="AB4:AB15" si="1">MIN(N4,P4,R4,T4,V4)</f>
        <v>60</v>
      </c>
      <c r="AC4">
        <f t="shared" ref="AC4:AC15" si="2">MAX(O4,Q4,S4,U4,W4)</f>
        <v>80</v>
      </c>
      <c r="AD4" s="31">
        <f>10^(Sheet5!$D$3*LOG10(AB4)+Sheet5!$D$2)</f>
        <v>247.44248102647487</v>
      </c>
      <c r="AE4" s="31">
        <f>10^(Sheet5!$D$3*LOG10(AC4)+Sheet5!$D$2)</f>
        <v>299.63325206801005</v>
      </c>
      <c r="AF4">
        <v>50</v>
      </c>
      <c r="AG4">
        <v>85</v>
      </c>
      <c r="AH4">
        <f>(VALUE(AF4)+VALUE(AG4))/2</f>
        <v>67.5</v>
      </c>
      <c r="AI4">
        <v>69</v>
      </c>
      <c r="AJ4">
        <v>72</v>
      </c>
      <c r="AK4">
        <v>75</v>
      </c>
      <c r="AL4">
        <f>MIN(AF4,AI4,AK4)</f>
        <v>50</v>
      </c>
      <c r="AM4">
        <f>MAX(AG4,AJ4,AK4)</f>
        <v>85</v>
      </c>
      <c r="AN4" s="31">
        <f>Sheet5!$G$3*ATANH(AL4/100)+Sheet5!$G$2</f>
        <v>209.04938111417655</v>
      </c>
      <c r="AO4" s="31">
        <f>Sheet5!$G$3*ATANH(AM4/100)+Sheet5!$G$2</f>
        <v>478.05394248646837</v>
      </c>
      <c r="AP4">
        <f>LOG10(J4)-LOG10(AD4)</f>
        <v>-7.7833853429401412E-2</v>
      </c>
      <c r="AQ4">
        <f>LOG10(K4)-LOG10(AE4)</f>
        <v>-1.4821564122900366E-2</v>
      </c>
      <c r="AR4">
        <f>LOG10(J4)-LOG10(AN4)</f>
        <v>-4.6084780504678236E-3</v>
      </c>
      <c r="AS4">
        <f>LOG10(K4)-LOG10(AO4)</f>
        <v>-0.21770846035120339</v>
      </c>
      <c r="AT4" t="str">
        <f>A4</f>
        <v>A-1-a</v>
      </c>
      <c r="AU4" s="75">
        <f>MEDIAN(J4,AD4,AN4)</f>
        <v>209.04938111417655</v>
      </c>
      <c r="AV4" s="75">
        <f t="shared" ref="AV4:AV38" si="3">MEDIAN(K4,AE4,AO4)</f>
        <v>299.63325206801005</v>
      </c>
      <c r="AW4" s="52"/>
      <c r="AX4" s="52">
        <f t="shared" ref="AX4:AX15" si="4">AU4/6.89476</f>
        <v>30.320037407274011</v>
      </c>
      <c r="AY4" s="52">
        <f t="shared" ref="AY4:AY15" si="5">AV4/6.89476</f>
        <v>43.458111967350575</v>
      </c>
    </row>
    <row r="5" spans="1:52" ht="15.75" thickBot="1" x14ac:dyDescent="0.3">
      <c r="A5" s="21" t="s">
        <v>58</v>
      </c>
      <c r="B5" s="8" t="s">
        <v>59</v>
      </c>
      <c r="C5" s="17">
        <v>38000</v>
      </c>
      <c r="D5">
        <v>25</v>
      </c>
      <c r="E5">
        <v>35</v>
      </c>
      <c r="F5">
        <v>29</v>
      </c>
      <c r="J5">
        <f t="shared" ref="J5:J15" si="6">MIN(D5*1000,VALUE(LEFT(B5,FIND("-",B5)-1)))*6.89476/1000</f>
        <v>172.369</v>
      </c>
      <c r="K5">
        <f t="shared" si="0"/>
        <v>275.79039999999998</v>
      </c>
      <c r="L5">
        <f t="shared" ref="L5:L15" si="7">AVERAGE(VALUE(C5),F5*1000)*6.89476/1000</f>
        <v>230.97445999999999</v>
      </c>
      <c r="N5" s="45"/>
      <c r="O5" s="45"/>
      <c r="P5" s="45"/>
      <c r="Q5" s="45"/>
      <c r="R5" s="45"/>
      <c r="S5" s="45"/>
      <c r="T5" s="45"/>
      <c r="U5" s="45"/>
      <c r="V5">
        <v>35</v>
      </c>
      <c r="W5">
        <v>60</v>
      </c>
      <c r="X5">
        <v>20</v>
      </c>
      <c r="Y5">
        <v>60</v>
      </c>
      <c r="Z5">
        <v>25</v>
      </c>
      <c r="AA5">
        <v>45</v>
      </c>
      <c r="AB5">
        <f t="shared" si="1"/>
        <v>35</v>
      </c>
      <c r="AC5">
        <f t="shared" si="2"/>
        <v>60</v>
      </c>
      <c r="AD5" s="31">
        <f>10^(Sheet5!$D$3*LOG10(AB5)+Sheet5!$D$2)</f>
        <v>172.88206321805202</v>
      </c>
      <c r="AE5" s="31">
        <f>10^(Sheet5!$D$3*LOG10(AC5)+Sheet5!$D$2)</f>
        <v>247.44248102647487</v>
      </c>
      <c r="AF5">
        <v>50</v>
      </c>
      <c r="AG5">
        <v>75</v>
      </c>
      <c r="AH5">
        <f t="shared" ref="AH5:AH10" si="8">(VALUE(AF5)+VALUE(AG5))/2</f>
        <v>62.5</v>
      </c>
      <c r="AI5">
        <v>59</v>
      </c>
      <c r="AJ5">
        <v>69</v>
      </c>
      <c r="AK5">
        <v>70</v>
      </c>
      <c r="AL5">
        <f t="shared" ref="AL5:AL37" si="9">MIN(AF5,AI5,AK5)</f>
        <v>50</v>
      </c>
      <c r="AM5">
        <f t="shared" ref="AM5:AM38" si="10">MAX(AG5,AJ5,AK5)</f>
        <v>75</v>
      </c>
      <c r="AN5" s="31">
        <f>Sheet5!$G$3*ATANH(AL5/100)+Sheet5!$G$2</f>
        <v>209.04938111417655</v>
      </c>
      <c r="AO5" s="31">
        <f>Sheet5!$G$3*ATANH(AM5/100)+Sheet5!$G$2</f>
        <v>370.27740956454903</v>
      </c>
      <c r="AP5">
        <f t="shared" ref="AP5:AP37" si="11">LOG10(J5)-LOG10(AD5)</f>
        <v>-1.2907748142132469E-3</v>
      </c>
      <c r="AQ5">
        <f t="shared" ref="AQ5:AQ37" si="12">LOG10(K5)-LOG10(AE5)</f>
        <v>4.7104883178898493E-2</v>
      </c>
      <c r="AR5">
        <f t="shared" ref="AR5:AR37" si="13">LOG10(J5)-LOG10(AN5)</f>
        <v>-8.3789724098092488E-2</v>
      </c>
      <c r="AS5">
        <f>LOG10(K5)-LOG10(AO5)</f>
        <v>-0.12794807204588965</v>
      </c>
      <c r="AT5" t="str">
        <f t="shared" ref="AT5:AT41" si="14">A5</f>
        <v>A-1-b</v>
      </c>
      <c r="AU5" s="75">
        <f t="shared" ref="AU5:AU38" si="15">MEDIAN(J5,AD5,AN5)</f>
        <v>172.88206321805202</v>
      </c>
      <c r="AV5" s="75">
        <f t="shared" si="3"/>
        <v>275.79039999999998</v>
      </c>
      <c r="AW5" s="52"/>
      <c r="AX5" s="52">
        <f t="shared" si="4"/>
        <v>25.074413499244649</v>
      </c>
      <c r="AY5" s="52">
        <f t="shared" si="5"/>
        <v>40</v>
      </c>
    </row>
    <row r="6" spans="1:52" ht="15.75" thickBot="1" x14ac:dyDescent="0.3">
      <c r="A6" s="21" t="s">
        <v>60</v>
      </c>
      <c r="B6" s="8" t="s">
        <v>61</v>
      </c>
      <c r="C6" s="17">
        <v>32000</v>
      </c>
      <c r="D6">
        <v>17</v>
      </c>
      <c r="E6">
        <v>28</v>
      </c>
      <c r="F6">
        <v>21</v>
      </c>
      <c r="J6">
        <f t="shared" si="6"/>
        <v>117.21092</v>
      </c>
      <c r="K6">
        <f t="shared" si="0"/>
        <v>258.55349999999999</v>
      </c>
      <c r="L6">
        <f t="shared" si="7"/>
        <v>182.71113999999997</v>
      </c>
      <c r="N6" s="45"/>
      <c r="O6" s="45"/>
      <c r="P6" s="45"/>
      <c r="Q6" s="45"/>
      <c r="R6" s="45"/>
      <c r="S6" s="45"/>
      <c r="T6" s="45"/>
      <c r="U6" s="45"/>
      <c r="V6">
        <v>20</v>
      </c>
      <c r="W6">
        <v>40</v>
      </c>
      <c r="X6">
        <v>55</v>
      </c>
      <c r="Y6">
        <v>100</v>
      </c>
      <c r="Z6">
        <v>55</v>
      </c>
      <c r="AA6">
        <v>100</v>
      </c>
      <c r="AB6">
        <f t="shared" si="1"/>
        <v>20</v>
      </c>
      <c r="AC6">
        <f t="shared" si="2"/>
        <v>40</v>
      </c>
      <c r="AD6" s="31">
        <f>10^(Sheet5!$D$3*LOG10(AB6)+Sheet5!$D$2)</f>
        <v>119.14295987482359</v>
      </c>
      <c r="AE6" s="31">
        <f>10^(Sheet5!$D$3*LOG10(AC6)+Sheet5!$D$2)</f>
        <v>188.94229946812271</v>
      </c>
      <c r="AF6">
        <v>10</v>
      </c>
      <c r="AG6">
        <v>45</v>
      </c>
      <c r="AH6">
        <f t="shared" si="8"/>
        <v>27.5</v>
      </c>
      <c r="AI6">
        <v>31</v>
      </c>
      <c r="AJ6">
        <v>56</v>
      </c>
      <c r="AK6">
        <v>30</v>
      </c>
      <c r="AL6">
        <f t="shared" si="9"/>
        <v>10</v>
      </c>
      <c r="AM6">
        <f t="shared" si="10"/>
        <v>56</v>
      </c>
      <c r="AN6" s="31">
        <f>Sheet5!$G$3*ATANH(AL6/100)+Sheet5!$G$2</f>
        <v>38.184612648900753</v>
      </c>
      <c r="AO6" s="31">
        <f>Sheet5!$G$3*ATANH(AM6/100)+Sheet5!$G$2</f>
        <v>240.83725875913547</v>
      </c>
      <c r="AP6">
        <f t="shared" si="11"/>
        <v>-7.1003103197382345E-3</v>
      </c>
      <c r="AQ6">
        <f t="shared" si="12"/>
        <v>0.13622122461831321</v>
      </c>
      <c r="AR6">
        <f t="shared" si="13"/>
        <v>0.48707968537270463</v>
      </c>
      <c r="AS6">
        <f>LOG10(K6)-LOG10(AO6)</f>
        <v>3.0826745760013985E-2</v>
      </c>
      <c r="AT6" t="str">
        <f t="shared" si="14"/>
        <v>A-2-4</v>
      </c>
      <c r="AU6" s="75">
        <f t="shared" si="15"/>
        <v>117.21092</v>
      </c>
      <c r="AV6" s="75">
        <f t="shared" si="3"/>
        <v>240.83725875913547</v>
      </c>
      <c r="AW6" s="52"/>
      <c r="AX6" s="52">
        <f t="shared" si="4"/>
        <v>17</v>
      </c>
      <c r="AY6" s="52">
        <f t="shared" si="5"/>
        <v>34.930477458118261</v>
      </c>
    </row>
    <row r="7" spans="1:52" ht="15.75" thickBot="1" x14ac:dyDescent="0.3">
      <c r="A7" s="21" t="s">
        <v>62</v>
      </c>
      <c r="B7" s="8" t="s">
        <v>63</v>
      </c>
      <c r="C7" s="17">
        <v>28000</v>
      </c>
      <c r="D7">
        <v>14</v>
      </c>
      <c r="E7">
        <v>22</v>
      </c>
      <c r="F7">
        <v>17</v>
      </c>
      <c r="J7">
        <f t="shared" si="6"/>
        <v>96.52664</v>
      </c>
      <c r="K7">
        <f t="shared" si="0"/>
        <v>227.52707999999998</v>
      </c>
      <c r="L7">
        <f t="shared" si="7"/>
        <v>155.13210000000001</v>
      </c>
      <c r="N7" s="45"/>
      <c r="O7" s="45"/>
      <c r="P7" s="45"/>
      <c r="Q7" s="45"/>
      <c r="R7" s="45"/>
      <c r="S7" s="45"/>
      <c r="T7" s="45"/>
      <c r="U7" s="45"/>
      <c r="V7">
        <v>15</v>
      </c>
      <c r="W7">
        <v>30</v>
      </c>
      <c r="X7">
        <v>26</v>
      </c>
      <c r="Y7">
        <v>55</v>
      </c>
      <c r="Z7">
        <v>30</v>
      </c>
      <c r="AA7">
        <v>55</v>
      </c>
      <c r="AB7">
        <f t="shared" si="1"/>
        <v>15</v>
      </c>
      <c r="AC7">
        <f t="shared" si="2"/>
        <v>30</v>
      </c>
      <c r="AD7" s="31">
        <f>10^(Sheet5!$D$3*LOG10(AB7)+Sheet5!$D$2)</f>
        <v>98.390380189087139</v>
      </c>
      <c r="AE7" s="31">
        <f>10^(Sheet5!$D$3*LOG10(AC7)+Sheet5!$D$2)</f>
        <v>156.03191911633272</v>
      </c>
      <c r="AN7" s="31"/>
      <c r="AO7" s="31"/>
      <c r="AP7">
        <f t="shared" si="11"/>
        <v>-8.3054496480365891E-3</v>
      </c>
      <c r="AQ7">
        <f t="shared" si="12"/>
        <v>0.16381964314021902</v>
      </c>
      <c r="AT7" t="str">
        <f t="shared" si="14"/>
        <v>A-2-5</v>
      </c>
      <c r="AU7" s="75">
        <f t="shared" si="15"/>
        <v>97.45851009454357</v>
      </c>
      <c r="AV7" s="75">
        <f t="shared" si="3"/>
        <v>191.77949955816635</v>
      </c>
      <c r="AW7" s="52"/>
      <c r="AX7" s="52">
        <f t="shared" si="4"/>
        <v>14.135156277309664</v>
      </c>
      <c r="AY7" s="52">
        <f t="shared" si="5"/>
        <v>27.815253838881464</v>
      </c>
    </row>
    <row r="8" spans="1:52" ht="15.75" thickBot="1" x14ac:dyDescent="0.3">
      <c r="A8" s="21" t="s">
        <v>64</v>
      </c>
      <c r="B8" s="8" t="s">
        <v>65</v>
      </c>
      <c r="C8" s="17">
        <v>26000</v>
      </c>
      <c r="D8">
        <v>12</v>
      </c>
      <c r="E8">
        <v>20</v>
      </c>
      <c r="F8">
        <v>15</v>
      </c>
      <c r="J8">
        <f t="shared" si="6"/>
        <v>82.73711999999999</v>
      </c>
      <c r="K8">
        <f t="shared" si="0"/>
        <v>213.73756</v>
      </c>
      <c r="L8">
        <f t="shared" si="7"/>
        <v>141.34258</v>
      </c>
      <c r="N8" s="45"/>
      <c r="O8" s="45"/>
      <c r="P8" s="45"/>
      <c r="Q8" s="45"/>
      <c r="R8" s="45"/>
      <c r="S8" s="45"/>
      <c r="T8" s="45"/>
      <c r="U8" s="45"/>
      <c r="V8">
        <v>10</v>
      </c>
      <c r="W8">
        <v>25</v>
      </c>
      <c r="X8">
        <v>17</v>
      </c>
      <c r="Y8">
        <v>30</v>
      </c>
      <c r="Z8">
        <v>17</v>
      </c>
      <c r="AA8">
        <v>30</v>
      </c>
      <c r="AB8">
        <f t="shared" si="1"/>
        <v>10</v>
      </c>
      <c r="AC8">
        <f t="shared" si="2"/>
        <v>25</v>
      </c>
      <c r="AD8" s="31">
        <f>10^(Sheet5!$D$3*LOG10(AB8)+Sheet5!$D$2)</f>
        <v>75.128994024594888</v>
      </c>
      <c r="AE8" s="31">
        <f>10^(Sheet5!$D$3*LOG10(AC8)+Sheet5!$D$2)</f>
        <v>138.20952252056165</v>
      </c>
      <c r="AF8">
        <v>5</v>
      </c>
      <c r="AG8">
        <v>30</v>
      </c>
      <c r="AH8">
        <f>(5+VALUE(AG8))/2</f>
        <v>17.5</v>
      </c>
      <c r="AJ8">
        <v>29</v>
      </c>
      <c r="AK8">
        <v>30</v>
      </c>
      <c r="AL8">
        <f t="shared" si="9"/>
        <v>5</v>
      </c>
      <c r="AM8">
        <f t="shared" si="10"/>
        <v>30</v>
      </c>
      <c r="AN8" s="31">
        <f>Sheet5!$G$3*ATANH(AL8/100)+Sheet5!$G$2</f>
        <v>19.044375606310187</v>
      </c>
      <c r="AO8" s="31">
        <f>Sheet5!$G$3*ATANH(AM8/100)+Sheet5!$G$2</f>
        <v>117.79384295766368</v>
      </c>
      <c r="AP8">
        <f t="shared" si="11"/>
        <v>4.1892825761007391E-2</v>
      </c>
      <c r="AQ8">
        <f t="shared" si="12"/>
        <v>0.18934288063799309</v>
      </c>
      <c r="AR8">
        <f t="shared" si="13"/>
        <v>0.63793366110489735</v>
      </c>
      <c r="AS8">
        <f t="shared" ref="AS8:AS15" si="16">LOG10(K8)-LOG10(AO8)</f>
        <v>0.25875825660777529</v>
      </c>
      <c r="AT8" t="str">
        <f t="shared" si="14"/>
        <v>A-2-6</v>
      </c>
      <c r="AU8" s="75">
        <f t="shared" si="15"/>
        <v>75.128994024594888</v>
      </c>
      <c r="AV8" s="75">
        <f t="shared" si="3"/>
        <v>138.20952252056165</v>
      </c>
      <c r="AW8" s="52"/>
      <c r="AX8" s="52">
        <f t="shared" si="4"/>
        <v>10.896535053373125</v>
      </c>
      <c r="AY8" s="52">
        <f t="shared" si="5"/>
        <v>20.045588609402163</v>
      </c>
    </row>
    <row r="9" spans="1:52" ht="15.75" thickBot="1" x14ac:dyDescent="0.3">
      <c r="A9" s="21" t="s">
        <v>66</v>
      </c>
      <c r="B9" s="8" t="s">
        <v>67</v>
      </c>
      <c r="C9" s="17">
        <v>24000</v>
      </c>
      <c r="D9">
        <v>12</v>
      </c>
      <c r="E9">
        <v>17</v>
      </c>
      <c r="F9">
        <v>14</v>
      </c>
      <c r="J9">
        <f t="shared" si="6"/>
        <v>82.73711999999999</v>
      </c>
      <c r="K9">
        <f t="shared" si="0"/>
        <v>193.05328</v>
      </c>
      <c r="L9">
        <f t="shared" si="7"/>
        <v>131.00044</v>
      </c>
      <c r="N9" s="45"/>
      <c r="O9" s="45"/>
      <c r="P9" s="45"/>
      <c r="Q9" s="45"/>
      <c r="R9" s="45"/>
      <c r="S9" s="45"/>
      <c r="T9" s="45"/>
      <c r="U9" s="45"/>
      <c r="V9">
        <v>10</v>
      </c>
      <c r="W9">
        <v>20</v>
      </c>
      <c r="X9">
        <v>9</v>
      </c>
      <c r="Y9">
        <v>17</v>
      </c>
      <c r="Z9">
        <v>9</v>
      </c>
      <c r="AA9">
        <v>17</v>
      </c>
      <c r="AB9">
        <f t="shared" si="1"/>
        <v>10</v>
      </c>
      <c r="AC9">
        <f t="shared" si="2"/>
        <v>20</v>
      </c>
      <c r="AD9" s="31">
        <f>10^(Sheet5!$D$3*LOG10(AB9)+Sheet5!$D$2)</f>
        <v>75.128994024594888</v>
      </c>
      <c r="AE9" s="31">
        <f>10^(Sheet5!$D$3*LOG10(AC9)+Sheet5!$D$2)</f>
        <v>119.14295987482359</v>
      </c>
      <c r="AJ9">
        <v>33</v>
      </c>
      <c r="AM9">
        <f t="shared" si="10"/>
        <v>33</v>
      </c>
      <c r="AN9" s="31"/>
      <c r="AO9" s="31">
        <f>Sheet5!$G$3*ATANH(AM9/100)+Sheet5!$G$2</f>
        <v>130.4701124377145</v>
      </c>
      <c r="AP9">
        <f t="shared" si="11"/>
        <v>4.1892825761007391E-2</v>
      </c>
      <c r="AQ9">
        <f t="shared" si="12"/>
        <v>0.20960879964420709</v>
      </c>
      <c r="AS9">
        <f t="shared" si="16"/>
        <v>0.17016614808633834</v>
      </c>
      <c r="AT9" t="str">
        <f t="shared" si="14"/>
        <v>A-2-7</v>
      </c>
      <c r="AU9" s="75">
        <f t="shared" si="15"/>
        <v>78.933057012297439</v>
      </c>
      <c r="AV9" s="75">
        <f t="shared" si="3"/>
        <v>130.4701124377145</v>
      </c>
      <c r="AW9" s="52"/>
      <c r="AX9" s="52">
        <f t="shared" si="4"/>
        <v>11.448267526686562</v>
      </c>
      <c r="AY9" s="52">
        <f t="shared" si="5"/>
        <v>18.923082520307378</v>
      </c>
    </row>
    <row r="10" spans="1:52" ht="15.75" thickBot="1" x14ac:dyDescent="0.3">
      <c r="A10" s="21" t="s">
        <v>68</v>
      </c>
      <c r="B10" s="8" t="s">
        <v>69</v>
      </c>
      <c r="C10" s="17">
        <v>29000</v>
      </c>
      <c r="D10">
        <v>14</v>
      </c>
      <c r="E10">
        <v>25</v>
      </c>
      <c r="F10">
        <v>18</v>
      </c>
      <c r="J10">
        <f t="shared" si="6"/>
        <v>96.52664</v>
      </c>
      <c r="K10">
        <f t="shared" si="0"/>
        <v>244.76397999999998</v>
      </c>
      <c r="L10">
        <f t="shared" si="7"/>
        <v>162.02686</v>
      </c>
      <c r="N10" s="45"/>
      <c r="O10" s="45"/>
      <c r="P10" s="45"/>
      <c r="Q10" s="45"/>
      <c r="R10" s="45"/>
      <c r="S10" s="45"/>
      <c r="T10" s="45"/>
      <c r="U10" s="45"/>
      <c r="V10">
        <v>15</v>
      </c>
      <c r="W10">
        <v>35</v>
      </c>
      <c r="X10">
        <v>10</v>
      </c>
      <c r="Y10">
        <v>30</v>
      </c>
      <c r="Z10">
        <v>11</v>
      </c>
      <c r="AA10">
        <v>100</v>
      </c>
      <c r="AB10">
        <f t="shared" si="1"/>
        <v>15</v>
      </c>
      <c r="AC10">
        <f t="shared" si="2"/>
        <v>35</v>
      </c>
      <c r="AD10" s="31">
        <f>10^(Sheet5!$D$3*LOG10(AB10)+Sheet5!$D$2)</f>
        <v>98.390380189087139</v>
      </c>
      <c r="AE10" s="31">
        <f>10^(Sheet5!$D$3*LOG10(AC10)+Sheet5!$D$2)</f>
        <v>172.88206321805202</v>
      </c>
      <c r="AF10">
        <v>50</v>
      </c>
      <c r="AG10">
        <v>75</v>
      </c>
      <c r="AH10">
        <f t="shared" si="8"/>
        <v>62.5</v>
      </c>
      <c r="AK10">
        <v>70</v>
      </c>
      <c r="AL10">
        <f t="shared" si="9"/>
        <v>50</v>
      </c>
      <c r="AM10">
        <f t="shared" si="10"/>
        <v>75</v>
      </c>
      <c r="AN10" s="31">
        <f>Sheet5!$G$3*ATANH(AL10/100)+Sheet5!$G$2</f>
        <v>209.04938111417655</v>
      </c>
      <c r="AO10" s="31">
        <f>Sheet5!$G$3*ATANH(AM10/100)+Sheet5!$G$2</f>
        <v>370.27740956454903</v>
      </c>
      <c r="AP10">
        <f t="shared" si="11"/>
        <v>-8.3054496480365891E-3</v>
      </c>
      <c r="AQ10">
        <f t="shared" si="12"/>
        <v>0.15099756956884303</v>
      </c>
      <c r="AR10">
        <f t="shared" si="13"/>
        <v>-0.33560169709189203</v>
      </c>
      <c r="AS10">
        <f t="shared" si="16"/>
        <v>-0.17977971031875795</v>
      </c>
      <c r="AT10" t="str">
        <f t="shared" si="14"/>
        <v>A-3</v>
      </c>
      <c r="AU10" s="75">
        <f t="shared" si="15"/>
        <v>98.390380189087139</v>
      </c>
      <c r="AV10" s="75">
        <f t="shared" si="3"/>
        <v>244.76397999999998</v>
      </c>
      <c r="AW10" s="52"/>
      <c r="AX10" s="52">
        <f t="shared" si="4"/>
        <v>14.270312554619325</v>
      </c>
      <c r="AY10" s="52">
        <f t="shared" si="5"/>
        <v>35.5</v>
      </c>
    </row>
    <row r="11" spans="1:52" ht="15.75" thickBot="1" x14ac:dyDescent="0.3">
      <c r="A11" s="21" t="s">
        <v>70</v>
      </c>
      <c r="B11" s="8" t="s">
        <v>71</v>
      </c>
      <c r="C11" s="17">
        <v>24000</v>
      </c>
      <c r="D11">
        <v>12</v>
      </c>
      <c r="E11">
        <v>18</v>
      </c>
      <c r="F11">
        <v>14</v>
      </c>
      <c r="J11">
        <f t="shared" si="6"/>
        <v>82.73711999999999</v>
      </c>
      <c r="K11">
        <f t="shared" si="0"/>
        <v>199.94803999999999</v>
      </c>
      <c r="L11">
        <f t="shared" si="7"/>
        <v>131.00044</v>
      </c>
      <c r="N11" s="45"/>
      <c r="O11" s="45"/>
      <c r="P11" s="45"/>
      <c r="Q11" s="45"/>
      <c r="R11" s="45"/>
      <c r="S11" s="45"/>
      <c r="T11" s="45"/>
      <c r="U11" s="45"/>
      <c r="V11">
        <v>10</v>
      </c>
      <c r="W11">
        <v>20</v>
      </c>
      <c r="X11">
        <v>3</v>
      </c>
      <c r="Y11">
        <v>25</v>
      </c>
      <c r="Z11">
        <v>3</v>
      </c>
      <c r="AA11">
        <v>28</v>
      </c>
      <c r="AB11">
        <f t="shared" si="1"/>
        <v>10</v>
      </c>
      <c r="AC11">
        <f t="shared" si="2"/>
        <v>20</v>
      </c>
      <c r="AD11" s="31">
        <f>10^(Sheet5!$D$3*LOG10(AB11)+Sheet5!$D$2)</f>
        <v>75.128994024594888</v>
      </c>
      <c r="AE11" s="31">
        <f>10^(Sheet5!$D$3*LOG10(AC11)+Sheet5!$D$2)</f>
        <v>119.14295987482359</v>
      </c>
      <c r="AF11">
        <v>5</v>
      </c>
      <c r="AG11">
        <v>50</v>
      </c>
      <c r="AH11">
        <f t="shared" ref="AH11:AH15" si="17">(5+VALUE(AG11))/2</f>
        <v>27.5</v>
      </c>
      <c r="AI11">
        <v>21</v>
      </c>
      <c r="AJ11">
        <v>46</v>
      </c>
      <c r="AK11">
        <v>20</v>
      </c>
      <c r="AL11">
        <f t="shared" si="9"/>
        <v>5</v>
      </c>
      <c r="AM11">
        <f t="shared" si="10"/>
        <v>50</v>
      </c>
      <c r="AN11" s="31">
        <f>Sheet5!$G$3*ATANH(AL11/100)+Sheet5!$G$2</f>
        <v>19.044375606310187</v>
      </c>
      <c r="AO11" s="31">
        <f>Sheet5!$G$3*ATANH(AM11/100)+Sheet5!$G$2</f>
        <v>209.04938111417655</v>
      </c>
      <c r="AP11">
        <f t="shared" si="11"/>
        <v>4.1892825761007391E-2</v>
      </c>
      <c r="AQ11">
        <f t="shared" si="12"/>
        <v>0.22484876620094418</v>
      </c>
      <c r="AR11">
        <f t="shared" si="13"/>
        <v>0.63793366110489735</v>
      </c>
      <c r="AS11">
        <f t="shared" si="16"/>
        <v>-1.93317348711739E-2</v>
      </c>
      <c r="AT11" t="str">
        <f t="shared" si="14"/>
        <v>A-4</v>
      </c>
      <c r="AU11" s="75">
        <f t="shared" si="15"/>
        <v>75.128994024594888</v>
      </c>
      <c r="AV11" s="75">
        <f t="shared" si="3"/>
        <v>199.94803999999999</v>
      </c>
      <c r="AW11" s="52"/>
      <c r="AX11" s="52">
        <f t="shared" si="4"/>
        <v>10.896535053373125</v>
      </c>
      <c r="AY11" s="52">
        <f t="shared" si="5"/>
        <v>29</v>
      </c>
    </row>
    <row r="12" spans="1:52" ht="15.75" thickBot="1" x14ac:dyDescent="0.3">
      <c r="A12" s="21" t="s">
        <v>72</v>
      </c>
      <c r="B12" s="8" t="s">
        <v>73</v>
      </c>
      <c r="C12" s="17">
        <v>20000</v>
      </c>
      <c r="D12">
        <v>9</v>
      </c>
      <c r="E12">
        <v>15</v>
      </c>
      <c r="F12">
        <v>11</v>
      </c>
      <c r="J12">
        <f t="shared" si="6"/>
        <v>62.052839999999996</v>
      </c>
      <c r="K12">
        <f t="shared" si="0"/>
        <v>175.81638000000001</v>
      </c>
      <c r="L12">
        <f t="shared" si="7"/>
        <v>106.86878</v>
      </c>
      <c r="N12" s="45"/>
      <c r="O12" s="45"/>
      <c r="P12" s="45"/>
      <c r="Q12" s="45"/>
      <c r="R12" s="45"/>
      <c r="S12" s="45"/>
      <c r="T12" s="45"/>
      <c r="U12" s="45"/>
      <c r="V12">
        <v>8</v>
      </c>
      <c r="W12">
        <v>16</v>
      </c>
      <c r="X12">
        <v>1</v>
      </c>
      <c r="Y12">
        <v>8</v>
      </c>
      <c r="Z12">
        <v>1</v>
      </c>
      <c r="AA12">
        <v>8</v>
      </c>
      <c r="AB12">
        <f t="shared" si="1"/>
        <v>8</v>
      </c>
      <c r="AC12">
        <f t="shared" si="2"/>
        <v>16</v>
      </c>
      <c r="AD12" s="31">
        <f>10^(Sheet5!$D$3*LOG10(AB12)+Sheet5!$D$2)</f>
        <v>64.764645425762922</v>
      </c>
      <c r="AE12" s="31">
        <f>10^(Sheet5!$D$3*LOG10(AC12)+Sheet5!$D$2)</f>
        <v>102.70670666431118</v>
      </c>
      <c r="AF12">
        <v>5</v>
      </c>
      <c r="AG12">
        <v>40</v>
      </c>
      <c r="AH12">
        <f t="shared" si="17"/>
        <v>22.5</v>
      </c>
      <c r="AI12">
        <v>14</v>
      </c>
      <c r="AJ12">
        <v>45</v>
      </c>
      <c r="AL12">
        <f t="shared" si="9"/>
        <v>5</v>
      </c>
      <c r="AM12">
        <f t="shared" si="10"/>
        <v>45</v>
      </c>
      <c r="AN12" s="31">
        <f>Sheet5!$G$3*ATANH(AL12/100)+Sheet5!$G$2</f>
        <v>19.044375606310187</v>
      </c>
      <c r="AO12" s="31">
        <f>Sheet5!$G$3*ATANH(AM12/100)+Sheet5!$G$2</f>
        <v>184.46233363873483</v>
      </c>
      <c r="AP12">
        <f t="shared" si="11"/>
        <v>-1.8576329349024867E-2</v>
      </c>
      <c r="AQ12">
        <f t="shared" si="12"/>
        <v>0.23346053023421032</v>
      </c>
      <c r="AR12">
        <f t="shared" si="13"/>
        <v>0.51299492449659745</v>
      </c>
      <c r="AS12">
        <f t="shared" si="16"/>
        <v>-2.0848364776079986E-2</v>
      </c>
      <c r="AT12" t="str">
        <f t="shared" si="14"/>
        <v>A-5</v>
      </c>
      <c r="AU12" s="75">
        <f t="shared" si="15"/>
        <v>62.052839999999996</v>
      </c>
      <c r="AV12" s="75">
        <f t="shared" si="3"/>
        <v>175.81638000000001</v>
      </c>
      <c r="AW12" s="52"/>
      <c r="AX12" s="52">
        <f t="shared" si="4"/>
        <v>9</v>
      </c>
      <c r="AY12" s="52">
        <f t="shared" si="5"/>
        <v>25.500000000000004</v>
      </c>
    </row>
    <row r="13" spans="1:52" ht="15.75" thickBot="1" x14ac:dyDescent="0.3">
      <c r="A13" s="21" t="s">
        <v>74</v>
      </c>
      <c r="B13" s="8" t="s">
        <v>75</v>
      </c>
      <c r="C13" s="17">
        <v>17000</v>
      </c>
      <c r="D13">
        <v>7</v>
      </c>
      <c r="E13">
        <v>14</v>
      </c>
      <c r="F13">
        <v>9</v>
      </c>
      <c r="J13">
        <f t="shared" si="6"/>
        <v>48.26332</v>
      </c>
      <c r="K13">
        <f t="shared" si="0"/>
        <v>165.47423999999998</v>
      </c>
      <c r="L13">
        <f t="shared" si="7"/>
        <v>89.631879999999995</v>
      </c>
      <c r="N13" s="45"/>
      <c r="O13" s="45"/>
      <c r="P13" s="45"/>
      <c r="Q13" s="45"/>
      <c r="R13" s="45"/>
      <c r="S13" s="45"/>
      <c r="T13" s="45"/>
      <c r="U13" s="45"/>
      <c r="V13">
        <v>5</v>
      </c>
      <c r="W13">
        <v>15</v>
      </c>
      <c r="X13">
        <v>1</v>
      </c>
      <c r="Y13">
        <v>13</v>
      </c>
      <c r="Z13">
        <v>1</v>
      </c>
      <c r="AA13">
        <v>17</v>
      </c>
      <c r="AB13">
        <f t="shared" si="1"/>
        <v>5</v>
      </c>
      <c r="AC13">
        <f t="shared" si="2"/>
        <v>15</v>
      </c>
      <c r="AD13" s="31">
        <f>10^(Sheet5!$D$3*LOG10(AB13)+Sheet5!$D$2)</f>
        <v>47.374731575225404</v>
      </c>
      <c r="AE13" s="31">
        <f>10^(Sheet5!$D$3*LOG10(AC13)+Sheet5!$D$2)</f>
        <v>98.390380189087139</v>
      </c>
      <c r="AF13">
        <v>5</v>
      </c>
      <c r="AG13">
        <v>30</v>
      </c>
      <c r="AH13">
        <f t="shared" si="17"/>
        <v>17.5</v>
      </c>
      <c r="AI13">
        <v>2</v>
      </c>
      <c r="AJ13">
        <v>12</v>
      </c>
      <c r="AK13">
        <v>12</v>
      </c>
      <c r="AL13">
        <f t="shared" si="9"/>
        <v>2</v>
      </c>
      <c r="AM13">
        <f t="shared" si="10"/>
        <v>30</v>
      </c>
      <c r="AN13" s="31">
        <f>Sheet5!$G$3*ATANH(AL13/100)+Sheet5!$G$2</f>
        <v>7.6124129763724584</v>
      </c>
      <c r="AO13" s="31">
        <f>Sheet5!$G$3*ATANH(AM13/100)+Sheet5!$G$2</f>
        <v>117.79384295766368</v>
      </c>
      <c r="AP13">
        <f t="shared" si="11"/>
        <v>8.070431139033607E-3</v>
      </c>
      <c r="AQ13">
        <f t="shared" si="12"/>
        <v>0.22577775638533137</v>
      </c>
      <c r="AR13">
        <f t="shared" si="13"/>
        <v>0.80209485251467449</v>
      </c>
      <c r="AS13">
        <f t="shared" si="16"/>
        <v>0.14760780448510857</v>
      </c>
      <c r="AT13" t="str">
        <f t="shared" si="14"/>
        <v>A-6</v>
      </c>
      <c r="AU13" s="75">
        <f t="shared" si="15"/>
        <v>47.374731575225404</v>
      </c>
      <c r="AV13" s="75">
        <f t="shared" si="3"/>
        <v>117.79384295766368</v>
      </c>
      <c r="AW13" s="52"/>
      <c r="AX13" s="52">
        <f t="shared" si="4"/>
        <v>6.8711211956943252</v>
      </c>
      <c r="AY13" s="52">
        <f t="shared" si="5"/>
        <v>17.084545793858478</v>
      </c>
    </row>
    <row r="14" spans="1:52" ht="15.75" thickBot="1" x14ac:dyDescent="0.3">
      <c r="A14" s="21" t="s">
        <v>76</v>
      </c>
      <c r="B14" s="8" t="s">
        <v>77</v>
      </c>
      <c r="C14" s="17">
        <v>12000</v>
      </c>
      <c r="D14">
        <v>4</v>
      </c>
      <c r="E14">
        <v>9.5</v>
      </c>
      <c r="F14">
        <v>6</v>
      </c>
      <c r="J14">
        <f t="shared" si="6"/>
        <v>27.579039999999999</v>
      </c>
      <c r="K14">
        <f t="shared" si="0"/>
        <v>120.6583</v>
      </c>
      <c r="L14">
        <f t="shared" si="7"/>
        <v>62.052839999999996</v>
      </c>
      <c r="N14" s="45"/>
      <c r="O14" s="45"/>
      <c r="P14" s="45"/>
      <c r="Q14" s="45"/>
      <c r="R14" s="45"/>
      <c r="S14" s="45"/>
      <c r="T14" s="45"/>
      <c r="U14" s="45"/>
      <c r="V14">
        <v>2</v>
      </c>
      <c r="W14">
        <v>8</v>
      </c>
      <c r="X14">
        <v>5</v>
      </c>
      <c r="Y14">
        <v>13</v>
      </c>
      <c r="Z14">
        <v>5</v>
      </c>
      <c r="AA14">
        <v>17</v>
      </c>
      <c r="AB14">
        <f t="shared" si="1"/>
        <v>2</v>
      </c>
      <c r="AC14">
        <f t="shared" si="2"/>
        <v>8</v>
      </c>
      <c r="AD14" s="31">
        <f>10^(Sheet5!$D$3*LOG10(AB14)+Sheet5!$D$2)</f>
        <v>25.752320538567702</v>
      </c>
      <c r="AE14" s="31">
        <f>10^(Sheet5!$D$3*LOG10(AC14)+Sheet5!$D$2)</f>
        <v>64.764645425762922</v>
      </c>
      <c r="AF14">
        <v>5</v>
      </c>
      <c r="AG14">
        <v>30</v>
      </c>
      <c r="AH14">
        <f t="shared" si="17"/>
        <v>17.5</v>
      </c>
      <c r="AI14">
        <v>3</v>
      </c>
      <c r="AJ14">
        <v>9</v>
      </c>
      <c r="AK14">
        <v>12</v>
      </c>
      <c r="AL14">
        <f t="shared" si="9"/>
        <v>3</v>
      </c>
      <c r="AM14">
        <f t="shared" si="10"/>
        <v>30</v>
      </c>
      <c r="AN14" s="31">
        <f>Sheet5!$G$3*ATANH(AL14/100)+Sheet5!$G$2</f>
        <v>11.420523799336609</v>
      </c>
      <c r="AO14" s="31">
        <f>Sheet5!$G$3*ATANH(AM14/100)+Sheet5!$G$2</f>
        <v>117.79384295766368</v>
      </c>
      <c r="AP14">
        <f t="shared" si="11"/>
        <v>2.9762775362401461E-2</v>
      </c>
      <c r="AQ14">
        <f t="shared" si="12"/>
        <v>0.27021920989794479</v>
      </c>
      <c r="AR14">
        <f t="shared" si="13"/>
        <v>0.38289312155803534</v>
      </c>
      <c r="AS14">
        <f t="shared" si="16"/>
        <v>1.0434611459797072E-2</v>
      </c>
      <c r="AT14" t="str">
        <f t="shared" si="14"/>
        <v>A-7-5</v>
      </c>
      <c r="AU14" s="75">
        <f t="shared" si="15"/>
        <v>25.752320538567702</v>
      </c>
      <c r="AV14" s="75">
        <f t="shared" si="3"/>
        <v>117.79384295766368</v>
      </c>
      <c r="AW14" s="52"/>
      <c r="AX14" s="52">
        <f t="shared" si="4"/>
        <v>3.7350568458608717</v>
      </c>
      <c r="AY14" s="52">
        <f t="shared" si="5"/>
        <v>17.084545793858478</v>
      </c>
    </row>
    <row r="15" spans="1:52" ht="15.75" thickBot="1" x14ac:dyDescent="0.3">
      <c r="A15" s="21" t="s">
        <v>78</v>
      </c>
      <c r="B15" s="8" t="s">
        <v>79</v>
      </c>
      <c r="C15" s="17">
        <v>8000</v>
      </c>
      <c r="D15">
        <v>2.5</v>
      </c>
      <c r="E15">
        <v>7</v>
      </c>
      <c r="F15">
        <v>4</v>
      </c>
      <c r="J15">
        <f t="shared" si="6"/>
        <v>17.236899999999999</v>
      </c>
      <c r="K15">
        <f t="shared" si="0"/>
        <v>93.079259999999991</v>
      </c>
      <c r="L15">
        <f t="shared" si="7"/>
        <v>41.368559999999995</v>
      </c>
      <c r="N15" s="45"/>
      <c r="O15" s="45"/>
      <c r="P15" s="45"/>
      <c r="Q15" s="45"/>
      <c r="R15" s="45"/>
      <c r="S15" s="45"/>
      <c r="T15" s="45"/>
      <c r="U15" s="45"/>
      <c r="V15">
        <v>1</v>
      </c>
      <c r="W15">
        <v>5</v>
      </c>
      <c r="X15">
        <v>1</v>
      </c>
      <c r="Y15">
        <v>5</v>
      </c>
      <c r="Z15">
        <v>1</v>
      </c>
      <c r="AA15">
        <v>5</v>
      </c>
      <c r="AB15">
        <f t="shared" si="1"/>
        <v>1</v>
      </c>
      <c r="AC15">
        <f t="shared" si="2"/>
        <v>5</v>
      </c>
      <c r="AD15" s="31">
        <f>10^(Sheet5!$D$3*LOG10(AB15)+Sheet5!$D$2)</f>
        <v>16.238860759328354</v>
      </c>
      <c r="AE15" s="31">
        <f>10^(Sheet5!$D$3*LOG10(AC15)+Sheet5!$D$2)</f>
        <v>47.374731575225404</v>
      </c>
      <c r="AF15">
        <v>5</v>
      </c>
      <c r="AG15">
        <v>20</v>
      </c>
      <c r="AH15">
        <f t="shared" si="17"/>
        <v>12.5</v>
      </c>
      <c r="AI15">
        <v>5</v>
      </c>
      <c r="AJ15">
        <v>7</v>
      </c>
      <c r="AK15">
        <v>10</v>
      </c>
      <c r="AL15">
        <f t="shared" si="9"/>
        <v>5</v>
      </c>
      <c r="AM15">
        <f t="shared" si="10"/>
        <v>20</v>
      </c>
      <c r="AN15" s="31">
        <f>Sheet5!$G$3*ATANH(AL15/100)+Sheet5!$G$2</f>
        <v>19.044375606310187</v>
      </c>
      <c r="AO15" s="31">
        <f>Sheet5!$G$3*ATANH(AM15/100)+Sheet5!$G$2</f>
        <v>77.153906603543419</v>
      </c>
      <c r="AP15">
        <f t="shared" si="11"/>
        <v>2.5903604117871071E-2</v>
      </c>
      <c r="AQ15">
        <f t="shared" si="12"/>
        <v>0.29330615961978279</v>
      </c>
      <c r="AR15">
        <f t="shared" si="13"/>
        <v>-4.3307576270689818E-2</v>
      </c>
      <c r="AS15">
        <f t="shared" si="16"/>
        <v>8.1495000913260673E-2</v>
      </c>
      <c r="AT15" t="str">
        <f t="shared" si="14"/>
        <v>A-7-6</v>
      </c>
      <c r="AU15" s="75">
        <f t="shared" si="15"/>
        <v>17.236899999999999</v>
      </c>
      <c r="AV15" s="75">
        <f t="shared" si="3"/>
        <v>77.153906603543419</v>
      </c>
      <c r="AW15" s="52"/>
      <c r="AX15" s="52">
        <f t="shared" si="4"/>
        <v>2.5</v>
      </c>
      <c r="AY15" s="52">
        <f t="shared" si="5"/>
        <v>11.190223677625243</v>
      </c>
    </row>
    <row r="16" spans="1:52" ht="15.75" thickBot="1" x14ac:dyDescent="0.3">
      <c r="A16" s="110" t="s">
        <v>14</v>
      </c>
      <c r="B16" s="111"/>
      <c r="C16" s="112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7"/>
      <c r="Y16" s="47"/>
      <c r="Z16" s="47"/>
      <c r="AA16" s="47"/>
      <c r="AD16" s="31"/>
      <c r="AE16" s="31"/>
      <c r="AN16" s="31"/>
      <c r="AO16" s="31"/>
      <c r="AT16" t="str">
        <f t="shared" si="14"/>
        <v>USCS Soil Class</v>
      </c>
      <c r="AU16" s="52"/>
      <c r="AV16" s="52"/>
      <c r="AW16" s="52"/>
      <c r="AX16" s="52"/>
      <c r="AY16" s="52"/>
    </row>
    <row r="17" spans="1:52" ht="15.75" thickBot="1" x14ac:dyDescent="0.3">
      <c r="A17" s="21" t="s">
        <v>16</v>
      </c>
      <c r="B17" s="8" t="s">
        <v>80</v>
      </c>
      <c r="C17" s="17">
        <v>41000</v>
      </c>
      <c r="D17">
        <v>35</v>
      </c>
      <c r="E17">
        <v>42</v>
      </c>
      <c r="F17">
        <v>38</v>
      </c>
      <c r="J17">
        <f t="shared" ref="J17:J34" si="18">MIN(D17*1000,VALUE(LEFT(B17,FIND("-",B17)-1)))*6.89476/1000</f>
        <v>241.31659999999999</v>
      </c>
      <c r="K17">
        <f t="shared" ref="K17:K34" si="19">MAX(E17*1000,VALUE(RIGHT(B17,LEN(B17)-FIND("-",B17))))*6.89476/1000</f>
        <v>289.57991999999996</v>
      </c>
      <c r="L17">
        <f t="shared" ref="L17:L37" si="20">AVERAGE(VALUE(C17),F17*1000)*6.89476/1000</f>
        <v>272.34302000000002</v>
      </c>
      <c r="M17">
        <f>F17*6.89476</f>
        <v>262.00088</v>
      </c>
      <c r="N17">
        <v>40</v>
      </c>
      <c r="O17">
        <v>80</v>
      </c>
      <c r="P17">
        <v>60</v>
      </c>
      <c r="Q17">
        <v>80</v>
      </c>
      <c r="R17">
        <v>60</v>
      </c>
      <c r="S17">
        <v>80</v>
      </c>
      <c r="T17">
        <v>60</v>
      </c>
      <c r="U17">
        <v>80</v>
      </c>
      <c r="V17">
        <v>60</v>
      </c>
      <c r="W17">
        <v>80</v>
      </c>
      <c r="X17">
        <v>60</v>
      </c>
      <c r="Y17">
        <v>100</v>
      </c>
      <c r="Z17">
        <v>60</v>
      </c>
      <c r="AA17">
        <v>100</v>
      </c>
      <c r="AB17">
        <f t="shared" ref="AB17:AB38" si="21">MIN(N17,P17,R17,T17,V17)</f>
        <v>40</v>
      </c>
      <c r="AC17">
        <f t="shared" ref="AC17:AC39" si="22">MAX(O17,Q17,S17,U17,W17)</f>
        <v>80</v>
      </c>
      <c r="AD17" s="31">
        <f>10^(Sheet5!$D$3*LOG10(AB17)+Sheet5!$D$2)</f>
        <v>188.94229946812271</v>
      </c>
      <c r="AE17" s="31">
        <f>10^(Sheet5!$D$3*LOG10(AC17)+Sheet5!$D$2)</f>
        <v>299.63325206801005</v>
      </c>
      <c r="AF17">
        <v>30</v>
      </c>
      <c r="AG17">
        <v>80</v>
      </c>
      <c r="AH17">
        <v>68</v>
      </c>
      <c r="AL17">
        <f t="shared" si="9"/>
        <v>30</v>
      </c>
      <c r="AM17">
        <f t="shared" si="10"/>
        <v>80</v>
      </c>
      <c r="AN17" s="31">
        <f>Sheet5!$G$3*ATANH(AL17/100)+Sheet5!$G$2</f>
        <v>117.79384295766368</v>
      </c>
      <c r="AO17" s="31">
        <f>Sheet5!$G$3*ATANH(AM17/100)+Sheet5!$G$2</f>
        <v>418.09876222835311</v>
      </c>
      <c r="AP17">
        <f t="shared" si="11"/>
        <v>0.10625800124087004</v>
      </c>
      <c r="AQ17">
        <f t="shared" si="12"/>
        <v>-1.4821564122900366E-2</v>
      </c>
      <c r="AR17">
        <f t="shared" si="13"/>
        <v>0.31146460712377833</v>
      </c>
      <c r="AS17">
        <f>LOG10(K17)-LOG10(AO17)</f>
        <v>-0.1595104380362109</v>
      </c>
      <c r="AT17" t="str">
        <f t="shared" si="14"/>
        <v>GW</v>
      </c>
      <c r="AU17" s="75">
        <f t="shared" si="15"/>
        <v>188.94229946812271</v>
      </c>
      <c r="AV17" s="75">
        <f t="shared" si="3"/>
        <v>299.63325206801005</v>
      </c>
      <c r="AW17" s="52">
        <f>M17</f>
        <v>262.00088</v>
      </c>
      <c r="AX17" s="52">
        <f>AU17/6.89476</f>
        <v>27.403752917885861</v>
      </c>
      <c r="AY17" s="52">
        <f>AV17/6.89476</f>
        <v>43.458111967350575</v>
      </c>
      <c r="AZ17" s="52">
        <f>AW17/6.89476</f>
        <v>38</v>
      </c>
    </row>
    <row r="18" spans="1:52" ht="15.75" thickBot="1" x14ac:dyDescent="0.3">
      <c r="A18" s="21" t="s">
        <v>17</v>
      </c>
      <c r="B18" s="8" t="s">
        <v>59</v>
      </c>
      <c r="C18" s="17">
        <v>38000</v>
      </c>
      <c r="D18">
        <v>25</v>
      </c>
      <c r="E18">
        <v>35</v>
      </c>
      <c r="F18">
        <v>29</v>
      </c>
      <c r="J18">
        <f t="shared" si="18"/>
        <v>172.369</v>
      </c>
      <c r="K18">
        <f t="shared" si="19"/>
        <v>275.79039999999998</v>
      </c>
      <c r="L18">
        <f t="shared" si="20"/>
        <v>230.97445999999999</v>
      </c>
      <c r="M18">
        <f>F18*6.89476</f>
        <v>199.94803999999999</v>
      </c>
      <c r="N18" s="34">
        <v>30</v>
      </c>
      <c r="O18" s="34">
        <v>60</v>
      </c>
      <c r="P18">
        <v>35</v>
      </c>
      <c r="Q18">
        <v>60</v>
      </c>
      <c r="R18">
        <v>25</v>
      </c>
      <c r="S18">
        <v>60</v>
      </c>
      <c r="T18">
        <v>35</v>
      </c>
      <c r="U18">
        <v>60</v>
      </c>
      <c r="V18">
        <v>35</v>
      </c>
      <c r="W18">
        <v>60</v>
      </c>
      <c r="X18">
        <v>25</v>
      </c>
      <c r="Y18">
        <v>60</v>
      </c>
      <c r="Z18">
        <v>28</v>
      </c>
      <c r="AA18">
        <v>60</v>
      </c>
      <c r="AB18">
        <f t="shared" si="21"/>
        <v>25</v>
      </c>
      <c r="AC18">
        <f t="shared" si="22"/>
        <v>60</v>
      </c>
      <c r="AD18" s="31">
        <f>10^(Sheet5!$D$3*LOG10(AB18)+Sheet5!$D$2)</f>
        <v>138.20952252056165</v>
      </c>
      <c r="AE18" s="31">
        <f>10^(Sheet5!$D$3*LOG10(AC18)+Sheet5!$D$2)</f>
        <v>247.44248102647487</v>
      </c>
      <c r="AF18">
        <v>30</v>
      </c>
      <c r="AG18">
        <v>80</v>
      </c>
      <c r="AH18">
        <v>52</v>
      </c>
      <c r="AL18">
        <f t="shared" si="9"/>
        <v>30</v>
      </c>
      <c r="AM18">
        <f t="shared" si="10"/>
        <v>80</v>
      </c>
      <c r="AN18" s="31">
        <f>Sheet5!$G$3*ATANH(AL18/100)+Sheet5!$G$2</f>
        <v>117.79384295766368</v>
      </c>
      <c r="AO18" s="31">
        <f>Sheet5!$G$3*ATANH(AM18/100)+Sheet5!$G$2</f>
        <v>418.09876222835311</v>
      </c>
      <c r="AP18">
        <f t="shared" si="11"/>
        <v>9.5921195475757948E-2</v>
      </c>
      <c r="AQ18">
        <f t="shared" si="12"/>
        <v>4.7104883178898493E-2</v>
      </c>
      <c r="AR18">
        <f t="shared" si="13"/>
        <v>0.16533657144554015</v>
      </c>
      <c r="AS18">
        <f>LOG10(K18)-LOG10(AO18)</f>
        <v>-0.18069973710614917</v>
      </c>
      <c r="AT18" t="str">
        <f t="shared" si="14"/>
        <v>GP</v>
      </c>
      <c r="AU18" s="75">
        <f t="shared" si="15"/>
        <v>138.20952252056165</v>
      </c>
      <c r="AV18" s="75">
        <f t="shared" si="3"/>
        <v>275.79039999999998</v>
      </c>
      <c r="AW18" s="52">
        <f t="shared" ref="AW18:AW37" si="23">M18</f>
        <v>199.94803999999999</v>
      </c>
      <c r="AX18" s="52">
        <f t="shared" ref="AX18:AX38" si="24">AU18/6.89476</f>
        <v>20.045588609402163</v>
      </c>
      <c r="AY18" s="52">
        <f t="shared" ref="AY18:AY38" si="25">AV18/6.89476</f>
        <v>40</v>
      </c>
      <c r="AZ18" s="52">
        <f t="shared" ref="AZ18:AZ37" si="26">AW18/6.89476</f>
        <v>29</v>
      </c>
    </row>
    <row r="19" spans="1:52" ht="15.75" thickBot="1" x14ac:dyDescent="0.3">
      <c r="A19" s="21" t="s">
        <v>18</v>
      </c>
      <c r="B19" s="8" t="s">
        <v>81</v>
      </c>
      <c r="C19" s="17">
        <v>38500</v>
      </c>
      <c r="D19">
        <v>22</v>
      </c>
      <c r="E19">
        <v>42</v>
      </c>
      <c r="F19">
        <v>30</v>
      </c>
      <c r="J19">
        <f t="shared" si="18"/>
        <v>151.68472</v>
      </c>
      <c r="K19">
        <f t="shared" si="19"/>
        <v>289.57991999999996</v>
      </c>
      <c r="L19">
        <f t="shared" si="20"/>
        <v>236.14553000000001</v>
      </c>
      <c r="M19">
        <f>F19*6.89476</f>
        <v>206.84279999999998</v>
      </c>
      <c r="N19" s="34">
        <v>20</v>
      </c>
      <c r="O19" s="34">
        <v>60</v>
      </c>
      <c r="P19">
        <v>40</v>
      </c>
      <c r="Q19">
        <v>80</v>
      </c>
      <c r="R19">
        <v>20</v>
      </c>
      <c r="S19">
        <v>80</v>
      </c>
      <c r="T19">
        <v>40</v>
      </c>
      <c r="U19">
        <v>80</v>
      </c>
      <c r="V19">
        <v>30</v>
      </c>
      <c r="W19">
        <v>80</v>
      </c>
      <c r="X19">
        <v>20</v>
      </c>
      <c r="Y19">
        <v>100</v>
      </c>
      <c r="Z19">
        <v>22</v>
      </c>
      <c r="AA19">
        <v>100</v>
      </c>
      <c r="AB19">
        <f t="shared" si="21"/>
        <v>20</v>
      </c>
      <c r="AC19">
        <f t="shared" si="22"/>
        <v>80</v>
      </c>
      <c r="AD19" s="31">
        <f>10^(Sheet5!$D$3*LOG10(AB19)+Sheet5!$D$2)</f>
        <v>119.14295987482359</v>
      </c>
      <c r="AE19" s="31">
        <f>10^(Sheet5!$D$3*LOG10(AC19)+Sheet5!$D$2)</f>
        <v>299.63325206801005</v>
      </c>
      <c r="AF19">
        <v>30</v>
      </c>
      <c r="AG19">
        <v>80</v>
      </c>
      <c r="AH19">
        <v>54</v>
      </c>
      <c r="AL19">
        <f t="shared" si="9"/>
        <v>30</v>
      </c>
      <c r="AM19">
        <f t="shared" si="10"/>
        <v>80</v>
      </c>
      <c r="AN19" s="31">
        <f>Sheet5!$G$3*ATANH(AL19/100)+Sheet5!$G$2</f>
        <v>117.79384295766368</v>
      </c>
      <c r="AO19" s="31">
        <f>Sheet5!$G$3*ATANH(AM19/100)+Sheet5!$G$2</f>
        <v>418.09876222835311</v>
      </c>
      <c r="AP19">
        <f t="shared" si="11"/>
        <v>0.10487344912419427</v>
      </c>
      <c r="AQ19">
        <f t="shared" si="12"/>
        <v>-1.4821564122900366E-2</v>
      </c>
      <c r="AR19">
        <f t="shared" si="13"/>
        <v>0.10981924359570883</v>
      </c>
      <c r="AS19">
        <f>LOG10(K19)-LOG10(AO19)</f>
        <v>-0.1595104380362109</v>
      </c>
      <c r="AT19" t="str">
        <f t="shared" si="14"/>
        <v>GM</v>
      </c>
      <c r="AU19" s="75">
        <f t="shared" si="15"/>
        <v>119.14295987482359</v>
      </c>
      <c r="AV19" s="75">
        <f t="shared" si="3"/>
        <v>299.63325206801005</v>
      </c>
      <c r="AW19" s="52">
        <f t="shared" si="23"/>
        <v>206.84279999999998</v>
      </c>
      <c r="AX19" s="52">
        <f t="shared" si="24"/>
        <v>17.28021858263719</v>
      </c>
      <c r="AY19" s="52">
        <f t="shared" si="25"/>
        <v>43.458111967350575</v>
      </c>
      <c r="AZ19" s="52">
        <f t="shared" si="26"/>
        <v>30</v>
      </c>
    </row>
    <row r="20" spans="1:52" ht="15.75" thickBot="1" x14ac:dyDescent="0.3">
      <c r="A20" s="21" t="s">
        <v>19</v>
      </c>
      <c r="B20" s="8" t="s">
        <v>82</v>
      </c>
      <c r="C20" s="17">
        <v>31000</v>
      </c>
      <c r="D20">
        <v>14</v>
      </c>
      <c r="E20">
        <v>28</v>
      </c>
      <c r="F20">
        <v>20</v>
      </c>
      <c r="J20">
        <f t="shared" si="18"/>
        <v>96.52664</v>
      </c>
      <c r="K20">
        <f t="shared" si="19"/>
        <v>258.55349999999999</v>
      </c>
      <c r="L20">
        <f t="shared" si="20"/>
        <v>175.81638000000001</v>
      </c>
      <c r="M20">
        <f>F20*6.89476</f>
        <v>137.89519999999999</v>
      </c>
      <c r="N20" s="34">
        <v>20</v>
      </c>
      <c r="O20" s="34">
        <v>40</v>
      </c>
      <c r="P20">
        <v>20</v>
      </c>
      <c r="Q20">
        <v>40</v>
      </c>
      <c r="R20">
        <v>20</v>
      </c>
      <c r="S20">
        <v>40</v>
      </c>
      <c r="T20">
        <v>20</v>
      </c>
      <c r="U20">
        <v>40</v>
      </c>
      <c r="V20">
        <v>15</v>
      </c>
      <c r="W20">
        <v>40</v>
      </c>
      <c r="X20">
        <v>20</v>
      </c>
      <c r="Y20">
        <v>40</v>
      </c>
      <c r="Z20">
        <v>22</v>
      </c>
      <c r="AA20">
        <v>42</v>
      </c>
      <c r="AB20">
        <f t="shared" si="21"/>
        <v>15</v>
      </c>
      <c r="AC20">
        <f t="shared" si="22"/>
        <v>40</v>
      </c>
      <c r="AD20" s="31">
        <f>10^(Sheet5!$D$3*LOG10(AB20)+Sheet5!$D$2)</f>
        <v>98.390380189087139</v>
      </c>
      <c r="AE20" s="31">
        <f>10^(Sheet5!$D$3*LOG10(AC20)+Sheet5!$D$2)</f>
        <v>188.94229946812271</v>
      </c>
      <c r="AF20">
        <v>30</v>
      </c>
      <c r="AG20">
        <v>80</v>
      </c>
      <c r="AH20">
        <v>34</v>
      </c>
      <c r="AL20">
        <f t="shared" si="9"/>
        <v>30</v>
      </c>
      <c r="AM20">
        <f t="shared" si="10"/>
        <v>80</v>
      </c>
      <c r="AN20" s="31">
        <f>Sheet5!$G$3*ATANH(AL20/100)+Sheet5!$G$2</f>
        <v>117.79384295766368</v>
      </c>
      <c r="AO20" s="31">
        <f>Sheet5!$G$3*ATANH(AM20/100)+Sheet5!$G$2</f>
        <v>418.09876222835311</v>
      </c>
      <c r="AP20">
        <f t="shared" si="11"/>
        <v>-8.3054496480365891E-3</v>
      </c>
      <c r="AQ20">
        <f t="shared" si="12"/>
        <v>0.13622122461831321</v>
      </c>
      <c r="AR20">
        <f t="shared" si="13"/>
        <v>-8.647540154825939E-2</v>
      </c>
      <c r="AS20">
        <f>LOG10(K20)-LOG10(AO20)</f>
        <v>-0.20872846070639239</v>
      </c>
      <c r="AT20" t="str">
        <f t="shared" si="14"/>
        <v>GC</v>
      </c>
      <c r="AU20" s="75">
        <f t="shared" si="15"/>
        <v>98.390380189087139</v>
      </c>
      <c r="AV20" s="75">
        <f t="shared" si="3"/>
        <v>258.55349999999999</v>
      </c>
      <c r="AW20" s="52">
        <f t="shared" si="23"/>
        <v>137.89519999999999</v>
      </c>
      <c r="AX20" s="52">
        <f t="shared" si="24"/>
        <v>14.270312554619325</v>
      </c>
      <c r="AY20" s="52">
        <f t="shared" si="25"/>
        <v>37.5</v>
      </c>
      <c r="AZ20" s="52">
        <f t="shared" si="26"/>
        <v>20</v>
      </c>
    </row>
    <row r="21" spans="1:52" ht="15.75" thickBot="1" x14ac:dyDescent="0.3">
      <c r="A21" s="21" t="s">
        <v>83</v>
      </c>
      <c r="B21" s="8" t="s">
        <v>84</v>
      </c>
      <c r="C21" s="17">
        <v>38500</v>
      </c>
      <c r="D21">
        <v>25</v>
      </c>
      <c r="E21">
        <v>38</v>
      </c>
      <c r="F21">
        <v>30</v>
      </c>
      <c r="J21">
        <f t="shared" si="18"/>
        <v>172.369</v>
      </c>
      <c r="K21">
        <f t="shared" si="19"/>
        <v>279.23777999999999</v>
      </c>
      <c r="L21">
        <f t="shared" si="20"/>
        <v>236.14553000000001</v>
      </c>
      <c r="V21">
        <v>35</v>
      </c>
      <c r="W21">
        <v>70</v>
      </c>
      <c r="AB21">
        <f t="shared" si="21"/>
        <v>35</v>
      </c>
      <c r="AC21">
        <f t="shared" si="22"/>
        <v>70</v>
      </c>
      <c r="AD21" s="31">
        <f>10^(Sheet5!$D$3*LOG10(AB21)+Sheet5!$D$2)</f>
        <v>172.88206321805202</v>
      </c>
      <c r="AE21" s="31">
        <f>10^(Sheet5!$D$3*LOG10(AC21)+Sheet5!$D$2)</f>
        <v>274.16420236269965</v>
      </c>
      <c r="AN21" s="31"/>
      <c r="AO21" s="31"/>
      <c r="AP21">
        <f t="shared" si="11"/>
        <v>-1.2907748142132469E-3</v>
      </c>
      <c r="AQ21">
        <f t="shared" si="12"/>
        <v>7.9634283170233466E-3</v>
      </c>
      <c r="AT21" t="str">
        <f t="shared" si="14"/>
        <v>GW-GM</v>
      </c>
      <c r="AU21" s="75">
        <f t="shared" si="15"/>
        <v>172.62553160902601</v>
      </c>
      <c r="AV21" s="75">
        <f t="shared" si="3"/>
        <v>276.70099118134982</v>
      </c>
      <c r="AW21" s="52"/>
      <c r="AX21" s="52">
        <f t="shared" si="24"/>
        <v>25.037206749622325</v>
      </c>
      <c r="AY21" s="52">
        <f t="shared" si="25"/>
        <v>40.132070033090322</v>
      </c>
      <c r="AZ21" s="52"/>
    </row>
    <row r="22" spans="1:52" ht="15.75" thickBot="1" x14ac:dyDescent="0.3">
      <c r="A22" s="21" t="s">
        <v>85</v>
      </c>
      <c r="B22" s="8" t="s">
        <v>86</v>
      </c>
      <c r="C22" s="17">
        <v>36000</v>
      </c>
      <c r="D22">
        <v>20</v>
      </c>
      <c r="E22">
        <v>35</v>
      </c>
      <c r="F22">
        <v>26</v>
      </c>
      <c r="J22">
        <f t="shared" si="18"/>
        <v>137.89519999999999</v>
      </c>
      <c r="K22">
        <f t="shared" si="19"/>
        <v>275.79039999999998</v>
      </c>
      <c r="L22">
        <f t="shared" si="20"/>
        <v>213.73756</v>
      </c>
      <c r="V22">
        <v>25</v>
      </c>
      <c r="W22">
        <v>60</v>
      </c>
      <c r="AB22">
        <f t="shared" si="21"/>
        <v>25</v>
      </c>
      <c r="AC22">
        <f t="shared" si="22"/>
        <v>60</v>
      </c>
      <c r="AD22" s="31">
        <f>10^(Sheet5!$D$3*LOG10(AB22)+Sheet5!$D$2)</f>
        <v>138.20952252056165</v>
      </c>
      <c r="AE22" s="31">
        <f>10^(Sheet5!$D$3*LOG10(AC22)+Sheet5!$D$2)</f>
        <v>247.44248102647487</v>
      </c>
      <c r="AN22" s="31"/>
      <c r="AO22" s="31"/>
      <c r="AP22">
        <f t="shared" si="11"/>
        <v>-9.8881753229829172E-4</v>
      </c>
      <c r="AQ22">
        <f t="shared" si="12"/>
        <v>4.7104883178898493E-2</v>
      </c>
      <c r="AT22" t="str">
        <f t="shared" si="14"/>
        <v>GP-GM</v>
      </c>
      <c r="AU22" s="75">
        <f t="shared" si="15"/>
        <v>138.0523612602808</v>
      </c>
      <c r="AV22" s="75">
        <f t="shared" si="3"/>
        <v>261.61644051323742</v>
      </c>
      <c r="AW22" s="52"/>
      <c r="AX22" s="52">
        <f t="shared" si="24"/>
        <v>20.02279430470108</v>
      </c>
      <c r="AY22" s="52">
        <f t="shared" si="25"/>
        <v>37.944241788436067</v>
      </c>
      <c r="AZ22" s="52"/>
    </row>
    <row r="23" spans="1:52" ht="15.75" thickBot="1" x14ac:dyDescent="0.3">
      <c r="A23" s="21" t="s">
        <v>87</v>
      </c>
      <c r="B23" s="8" t="s">
        <v>88</v>
      </c>
      <c r="C23" s="17">
        <v>34500</v>
      </c>
      <c r="D23">
        <v>17</v>
      </c>
      <c r="E23">
        <v>35</v>
      </c>
      <c r="F23">
        <v>24</v>
      </c>
      <c r="J23">
        <f t="shared" si="18"/>
        <v>117.21092</v>
      </c>
      <c r="K23">
        <f t="shared" si="19"/>
        <v>275.79039999999998</v>
      </c>
      <c r="L23">
        <f t="shared" si="20"/>
        <v>201.67172999999997</v>
      </c>
      <c r="V23">
        <v>20</v>
      </c>
      <c r="W23">
        <v>60</v>
      </c>
      <c r="AB23">
        <f t="shared" si="21"/>
        <v>20</v>
      </c>
      <c r="AC23">
        <f t="shared" si="22"/>
        <v>60</v>
      </c>
      <c r="AD23" s="31">
        <f>10^(Sheet5!$D$3*LOG10(AB23)+Sheet5!$D$2)</f>
        <v>119.14295987482359</v>
      </c>
      <c r="AE23" s="31">
        <f>10^(Sheet5!$D$3*LOG10(AC23)+Sheet5!$D$2)</f>
        <v>247.44248102647487</v>
      </c>
      <c r="AN23" s="31"/>
      <c r="AO23" s="31"/>
      <c r="AP23">
        <f t="shared" si="11"/>
        <v>-7.1003103197382345E-3</v>
      </c>
      <c r="AQ23">
        <f t="shared" si="12"/>
        <v>4.7104883178898493E-2</v>
      </c>
      <c r="AT23" t="str">
        <f t="shared" si="14"/>
        <v>GW-GC</v>
      </c>
      <c r="AU23" s="75">
        <f t="shared" si="15"/>
        <v>118.17693993741179</v>
      </c>
      <c r="AV23" s="75">
        <f t="shared" si="3"/>
        <v>261.61644051323742</v>
      </c>
      <c r="AW23" s="52"/>
      <c r="AX23" s="52">
        <f t="shared" si="24"/>
        <v>17.140109291318595</v>
      </c>
      <c r="AY23" s="52">
        <f t="shared" si="25"/>
        <v>37.944241788436067</v>
      </c>
      <c r="AZ23" s="52"/>
    </row>
    <row r="24" spans="1:52" ht="15.75" thickBot="1" x14ac:dyDescent="0.3">
      <c r="A24" s="21" t="s">
        <v>89</v>
      </c>
      <c r="B24" s="8" t="s">
        <v>90</v>
      </c>
      <c r="C24" s="17">
        <v>34000</v>
      </c>
      <c r="D24">
        <v>17</v>
      </c>
      <c r="E24">
        <v>32</v>
      </c>
      <c r="F24">
        <v>23</v>
      </c>
      <c r="J24">
        <f t="shared" si="18"/>
        <v>117.21092</v>
      </c>
      <c r="K24">
        <f t="shared" si="19"/>
        <v>268.89564000000001</v>
      </c>
      <c r="L24">
        <f t="shared" si="20"/>
        <v>196.50066000000001</v>
      </c>
      <c r="V24">
        <v>20</v>
      </c>
      <c r="W24">
        <v>50</v>
      </c>
      <c r="AB24">
        <f t="shared" si="21"/>
        <v>20</v>
      </c>
      <c r="AC24">
        <f t="shared" si="22"/>
        <v>50</v>
      </c>
      <c r="AD24" s="31">
        <f>10^(Sheet5!$D$3*LOG10(AB24)+Sheet5!$D$2)</f>
        <v>119.14295987482359</v>
      </c>
      <c r="AE24" s="31">
        <f>10^(Sheet5!$D$3*LOG10(AC24)+Sheet5!$D$2)</f>
        <v>219.17891767052171</v>
      </c>
      <c r="AN24" s="31"/>
      <c r="AO24" s="31"/>
      <c r="AP24">
        <f t="shared" si="11"/>
        <v>-7.1003103197382345E-3</v>
      </c>
      <c r="AQ24">
        <f t="shared" si="12"/>
        <v>8.8784982418825376E-2</v>
      </c>
      <c r="AT24" t="str">
        <f t="shared" si="14"/>
        <v>GP-GC</v>
      </c>
      <c r="AU24" s="75">
        <f t="shared" si="15"/>
        <v>118.17693993741179</v>
      </c>
      <c r="AV24" s="75">
        <f t="shared" si="3"/>
        <v>244.03727883526085</v>
      </c>
      <c r="AW24" s="52"/>
      <c r="AX24" s="52">
        <f t="shared" si="24"/>
        <v>17.140109291318595</v>
      </c>
      <c r="AY24" s="52">
        <f t="shared" si="25"/>
        <v>35.394600948439226</v>
      </c>
      <c r="AZ24" s="52"/>
    </row>
    <row r="25" spans="1:52" ht="15.75" thickBot="1" x14ac:dyDescent="0.3">
      <c r="A25" s="21" t="s">
        <v>20</v>
      </c>
      <c r="B25" s="8" t="s">
        <v>61</v>
      </c>
      <c r="C25" s="17">
        <v>32000</v>
      </c>
      <c r="D25">
        <v>17</v>
      </c>
      <c r="E25">
        <v>28</v>
      </c>
      <c r="F25">
        <v>21</v>
      </c>
      <c r="J25">
        <f t="shared" si="18"/>
        <v>117.21092</v>
      </c>
      <c r="K25">
        <f t="shared" si="19"/>
        <v>258.55349999999999</v>
      </c>
      <c r="L25">
        <f t="shared" si="20"/>
        <v>182.71113999999997</v>
      </c>
      <c r="M25">
        <f>F25*6.89476</f>
        <v>144.78996000000001</v>
      </c>
      <c r="N25" s="34">
        <v>20</v>
      </c>
      <c r="O25" s="34">
        <v>40</v>
      </c>
      <c r="P25">
        <v>20</v>
      </c>
      <c r="Q25">
        <v>40</v>
      </c>
      <c r="R25">
        <v>20</v>
      </c>
      <c r="S25">
        <v>40</v>
      </c>
      <c r="T25">
        <v>20</v>
      </c>
      <c r="U25">
        <v>50</v>
      </c>
      <c r="V25">
        <v>20</v>
      </c>
      <c r="W25">
        <v>40</v>
      </c>
      <c r="X25">
        <v>20</v>
      </c>
      <c r="Y25">
        <v>40</v>
      </c>
      <c r="Z25">
        <v>22</v>
      </c>
      <c r="AA25">
        <v>45</v>
      </c>
      <c r="AB25">
        <f t="shared" si="21"/>
        <v>20</v>
      </c>
      <c r="AC25">
        <f t="shared" si="22"/>
        <v>50</v>
      </c>
      <c r="AD25" s="31">
        <f>10^(Sheet5!$D$3*LOG10(AB25)+Sheet5!$D$2)</f>
        <v>119.14295987482359</v>
      </c>
      <c r="AE25" s="31">
        <f>10^(Sheet5!$D$3*LOG10(AC25)+Sheet5!$D$2)</f>
        <v>219.17891767052171</v>
      </c>
      <c r="AF25">
        <v>10</v>
      </c>
      <c r="AG25">
        <v>50</v>
      </c>
      <c r="AH25">
        <v>37</v>
      </c>
      <c r="AL25">
        <f t="shared" si="9"/>
        <v>10</v>
      </c>
      <c r="AM25">
        <f t="shared" si="10"/>
        <v>50</v>
      </c>
      <c r="AN25" s="31">
        <f>Sheet5!$G$3*ATANH(AL25/100)+Sheet5!$G$2</f>
        <v>38.184612648900753</v>
      </c>
      <c r="AO25" s="31">
        <f>Sheet5!$G$3*ATANH(AM25/100)+Sheet5!$G$2</f>
        <v>209.04938111417655</v>
      </c>
      <c r="AP25">
        <f t="shared" si="11"/>
        <v>-7.1003103197382345E-3</v>
      </c>
      <c r="AQ25">
        <f t="shared" si="12"/>
        <v>7.1751643120045117E-2</v>
      </c>
      <c r="AR25">
        <f t="shared" si="13"/>
        <v>0.48707968537270463</v>
      </c>
      <c r="AS25">
        <f>LOG10(K25)-LOG10(AO25)</f>
        <v>9.230153495758886E-2</v>
      </c>
      <c r="AT25" t="str">
        <f t="shared" si="14"/>
        <v>SW</v>
      </c>
      <c r="AU25" s="75">
        <f t="shared" si="15"/>
        <v>117.21092</v>
      </c>
      <c r="AV25" s="75">
        <f t="shared" si="3"/>
        <v>219.17891767052171</v>
      </c>
      <c r="AW25" s="52">
        <f t="shared" si="23"/>
        <v>144.78996000000001</v>
      </c>
      <c r="AX25" s="52">
        <f t="shared" si="24"/>
        <v>17</v>
      </c>
      <c r="AY25" s="52">
        <f t="shared" si="25"/>
        <v>31.78920189687846</v>
      </c>
      <c r="AZ25" s="52">
        <f t="shared" si="26"/>
        <v>21.000000000000004</v>
      </c>
    </row>
    <row r="26" spans="1:52" ht="15.75" thickBot="1" x14ac:dyDescent="0.3">
      <c r="A26" s="21" t="s">
        <v>21</v>
      </c>
      <c r="B26" s="8" t="s">
        <v>63</v>
      </c>
      <c r="C26" s="17">
        <v>28000</v>
      </c>
      <c r="D26">
        <v>14</v>
      </c>
      <c r="E26">
        <v>22</v>
      </c>
      <c r="F26">
        <v>17</v>
      </c>
      <c r="J26">
        <f t="shared" si="18"/>
        <v>96.52664</v>
      </c>
      <c r="K26">
        <f t="shared" si="19"/>
        <v>227.52707999999998</v>
      </c>
      <c r="L26">
        <f t="shared" si="20"/>
        <v>155.13210000000001</v>
      </c>
      <c r="M26">
        <f>F26*6.89476</f>
        <v>117.21092</v>
      </c>
      <c r="N26" s="34">
        <v>10</v>
      </c>
      <c r="O26" s="34">
        <v>40</v>
      </c>
      <c r="P26">
        <v>15</v>
      </c>
      <c r="Q26">
        <v>25</v>
      </c>
      <c r="R26">
        <v>10</v>
      </c>
      <c r="S26">
        <v>25</v>
      </c>
      <c r="T26">
        <v>10</v>
      </c>
      <c r="U26">
        <v>25</v>
      </c>
      <c r="V26">
        <v>15</v>
      </c>
      <c r="W26">
        <v>30</v>
      </c>
      <c r="X26">
        <v>10</v>
      </c>
      <c r="Y26">
        <v>25</v>
      </c>
      <c r="Z26">
        <v>12</v>
      </c>
      <c r="AA26">
        <v>28</v>
      </c>
      <c r="AB26">
        <f t="shared" si="21"/>
        <v>10</v>
      </c>
      <c r="AC26">
        <f t="shared" si="22"/>
        <v>40</v>
      </c>
      <c r="AD26" s="31">
        <f>10^(Sheet5!$D$3*LOG10(AB26)+Sheet5!$D$2)</f>
        <v>75.128994024594888</v>
      </c>
      <c r="AE26" s="31">
        <f>10^(Sheet5!$D$3*LOG10(AC26)+Sheet5!$D$2)</f>
        <v>188.94229946812271</v>
      </c>
      <c r="AF26">
        <v>10</v>
      </c>
      <c r="AG26">
        <v>50</v>
      </c>
      <c r="AH26">
        <v>31</v>
      </c>
      <c r="AL26">
        <f t="shared" si="9"/>
        <v>10</v>
      </c>
      <c r="AM26">
        <f t="shared" si="10"/>
        <v>50</v>
      </c>
      <c r="AN26" s="31">
        <f>Sheet5!$G$3*ATANH(AL26/100)+Sheet5!$G$2</f>
        <v>38.184612648900753</v>
      </c>
      <c r="AO26" s="31">
        <f>Sheet5!$G$3*ATANH(AM26/100)+Sheet5!$G$2</f>
        <v>209.04938111417655</v>
      </c>
      <c r="AP26">
        <f t="shared" si="11"/>
        <v>0.10883961539162068</v>
      </c>
      <c r="AQ26">
        <f t="shared" si="12"/>
        <v>8.0703896768481886E-2</v>
      </c>
      <c r="AR26">
        <f t="shared" si="13"/>
        <v>0.40275879967266892</v>
      </c>
      <c r="AS26">
        <f>LOG10(K26)-LOG10(AO26)</f>
        <v>3.6784207107757538E-2</v>
      </c>
      <c r="AT26" t="str">
        <f t="shared" si="14"/>
        <v>SP</v>
      </c>
      <c r="AU26" s="75">
        <f t="shared" si="15"/>
        <v>75.128994024594888</v>
      </c>
      <c r="AV26" s="75">
        <f t="shared" si="3"/>
        <v>209.04938111417655</v>
      </c>
      <c r="AW26" s="52">
        <f t="shared" si="23"/>
        <v>117.21092</v>
      </c>
      <c r="AX26" s="52">
        <f t="shared" si="24"/>
        <v>10.896535053373125</v>
      </c>
      <c r="AY26" s="52">
        <f t="shared" si="25"/>
        <v>30.320037407274011</v>
      </c>
      <c r="AZ26" s="52">
        <f t="shared" si="26"/>
        <v>17</v>
      </c>
    </row>
    <row r="27" spans="1:52" ht="15.75" thickBot="1" x14ac:dyDescent="0.3">
      <c r="A27" s="21" t="s">
        <v>22</v>
      </c>
      <c r="B27" s="8" t="s">
        <v>61</v>
      </c>
      <c r="C27" s="17">
        <v>32000</v>
      </c>
      <c r="D27">
        <v>17</v>
      </c>
      <c r="E27">
        <v>28</v>
      </c>
      <c r="F27">
        <v>21</v>
      </c>
      <c r="J27">
        <f t="shared" si="18"/>
        <v>117.21092</v>
      </c>
      <c r="K27">
        <f t="shared" si="19"/>
        <v>258.55349999999999</v>
      </c>
      <c r="L27">
        <f t="shared" si="20"/>
        <v>182.71113999999997</v>
      </c>
      <c r="M27">
        <f>F27*6.89476</f>
        <v>144.78996000000001</v>
      </c>
      <c r="N27" s="34">
        <v>10</v>
      </c>
      <c r="O27" s="34">
        <v>40</v>
      </c>
      <c r="P27">
        <v>20</v>
      </c>
      <c r="Q27">
        <v>40</v>
      </c>
      <c r="R27">
        <v>10</v>
      </c>
      <c r="S27">
        <v>40</v>
      </c>
      <c r="T27">
        <v>20</v>
      </c>
      <c r="U27">
        <v>40</v>
      </c>
      <c r="V27">
        <v>20</v>
      </c>
      <c r="W27">
        <v>40</v>
      </c>
      <c r="X27">
        <v>10</v>
      </c>
      <c r="Y27">
        <v>40</v>
      </c>
      <c r="Z27">
        <v>12</v>
      </c>
      <c r="AA27">
        <v>42</v>
      </c>
      <c r="AB27">
        <f t="shared" si="21"/>
        <v>10</v>
      </c>
      <c r="AC27">
        <f t="shared" si="22"/>
        <v>40</v>
      </c>
      <c r="AD27" s="31">
        <f>10^(Sheet5!$D$3*LOG10(AB27)+Sheet5!$D$2)</f>
        <v>75.128994024594888</v>
      </c>
      <c r="AE27" s="31">
        <f>10^(Sheet5!$D$3*LOG10(AC27)+Sheet5!$D$2)</f>
        <v>188.94229946812271</v>
      </c>
      <c r="AF27">
        <v>20</v>
      </c>
      <c r="AG27">
        <v>60</v>
      </c>
      <c r="AH27">
        <v>37</v>
      </c>
      <c r="AL27">
        <f t="shared" si="9"/>
        <v>20</v>
      </c>
      <c r="AM27">
        <f t="shared" si="10"/>
        <v>60</v>
      </c>
      <c r="AN27" s="31">
        <f>Sheet5!$G$3*ATANH(AL27/100)+Sheet5!$G$2</f>
        <v>77.153906603543419</v>
      </c>
      <c r="AO27" s="31">
        <f>Sheet5!$G$3*ATANH(AM27/100)+Sheet5!$G$2</f>
        <v>263.79094902126616</v>
      </c>
      <c r="AP27">
        <f t="shared" si="11"/>
        <v>0.19316050109165639</v>
      </c>
      <c r="AQ27">
        <f t="shared" si="12"/>
        <v>0.13622122461831321</v>
      </c>
      <c r="AR27">
        <f t="shared" si="13"/>
        <v>0.18161015379652845</v>
      </c>
      <c r="AS27">
        <f>LOG10(K27)-LOG10(AO27)</f>
        <v>-8.7094691826101744E-3</v>
      </c>
      <c r="AT27" t="str">
        <f t="shared" si="14"/>
        <v>SM</v>
      </c>
      <c r="AU27" s="75">
        <f t="shared" si="15"/>
        <v>77.153906603543419</v>
      </c>
      <c r="AV27" s="75">
        <f t="shared" si="3"/>
        <v>258.55349999999999</v>
      </c>
      <c r="AW27" s="52">
        <f t="shared" si="23"/>
        <v>144.78996000000001</v>
      </c>
      <c r="AX27" s="52">
        <f t="shared" si="24"/>
        <v>11.190223677625243</v>
      </c>
      <c r="AY27" s="52">
        <f t="shared" si="25"/>
        <v>37.5</v>
      </c>
      <c r="AZ27" s="52">
        <f t="shared" si="26"/>
        <v>21.000000000000004</v>
      </c>
    </row>
    <row r="28" spans="1:52" ht="15.75" thickBot="1" x14ac:dyDescent="0.3">
      <c r="A28" s="21" t="s">
        <v>23</v>
      </c>
      <c r="B28" s="8" t="s">
        <v>67</v>
      </c>
      <c r="C28" s="17">
        <v>24000</v>
      </c>
      <c r="D28">
        <v>12</v>
      </c>
      <c r="E28">
        <v>17</v>
      </c>
      <c r="F28">
        <v>14</v>
      </c>
      <c r="J28">
        <f t="shared" si="18"/>
        <v>82.73711999999999</v>
      </c>
      <c r="K28">
        <f t="shared" si="19"/>
        <v>193.05328</v>
      </c>
      <c r="L28">
        <f t="shared" si="20"/>
        <v>131.00044</v>
      </c>
      <c r="M28">
        <f>F28*6.89476</f>
        <v>96.52664</v>
      </c>
      <c r="N28" s="34">
        <v>5</v>
      </c>
      <c r="O28" s="34">
        <v>20</v>
      </c>
      <c r="P28">
        <v>10</v>
      </c>
      <c r="Q28">
        <v>20</v>
      </c>
      <c r="R28">
        <v>10</v>
      </c>
      <c r="S28">
        <v>20</v>
      </c>
      <c r="T28">
        <v>10</v>
      </c>
      <c r="U28">
        <v>20</v>
      </c>
      <c r="V28">
        <v>10</v>
      </c>
      <c r="W28">
        <v>20</v>
      </c>
      <c r="X28">
        <v>10</v>
      </c>
      <c r="Y28">
        <v>20</v>
      </c>
      <c r="Z28">
        <v>12</v>
      </c>
      <c r="AA28">
        <v>22</v>
      </c>
      <c r="AB28">
        <f t="shared" si="21"/>
        <v>5</v>
      </c>
      <c r="AC28">
        <f t="shared" si="22"/>
        <v>20</v>
      </c>
      <c r="AD28" s="31">
        <f>10^(Sheet5!$D$3*LOG10(AB28)+Sheet5!$D$2)</f>
        <v>47.374731575225404</v>
      </c>
      <c r="AE28" s="31">
        <f>10^(Sheet5!$D$3*LOG10(AC28)+Sheet5!$D$2)</f>
        <v>119.14295987482359</v>
      </c>
      <c r="AF28">
        <v>20</v>
      </c>
      <c r="AG28">
        <v>60</v>
      </c>
      <c r="AH28">
        <v>23</v>
      </c>
      <c r="AL28">
        <f t="shared" si="9"/>
        <v>20</v>
      </c>
      <c r="AM28">
        <f t="shared" si="10"/>
        <v>60</v>
      </c>
      <c r="AN28" s="31">
        <f>Sheet5!$G$3*ATANH(AL28/100)+Sheet5!$G$2</f>
        <v>77.153906603543419</v>
      </c>
      <c r="AO28" s="31">
        <f>Sheet5!$G$3*ATANH(AM28/100)+Sheet5!$G$2</f>
        <v>263.79094902126616</v>
      </c>
      <c r="AP28">
        <f t="shared" si="11"/>
        <v>0.24215363717240157</v>
      </c>
      <c r="AQ28">
        <f t="shared" si="12"/>
        <v>0.20960879964420709</v>
      </c>
      <c r="AR28">
        <f t="shared" si="13"/>
        <v>3.0342478465879452E-2</v>
      </c>
      <c r="AS28">
        <f>LOG10(K28)-LOG10(AO28)</f>
        <v>-0.13558270556811003</v>
      </c>
      <c r="AT28" t="str">
        <f t="shared" si="14"/>
        <v>SC</v>
      </c>
      <c r="AU28" s="75">
        <f t="shared" si="15"/>
        <v>77.153906603543419</v>
      </c>
      <c r="AV28" s="75">
        <f t="shared" si="3"/>
        <v>193.05328</v>
      </c>
      <c r="AW28" s="52">
        <f t="shared" si="23"/>
        <v>96.52664</v>
      </c>
      <c r="AX28" s="52">
        <f t="shared" si="24"/>
        <v>11.190223677625243</v>
      </c>
      <c r="AY28" s="52">
        <f t="shared" si="25"/>
        <v>28</v>
      </c>
      <c r="AZ28" s="52">
        <f t="shared" si="26"/>
        <v>14</v>
      </c>
    </row>
    <row r="29" spans="1:52" ht="15.75" thickBot="1" x14ac:dyDescent="0.3">
      <c r="A29" s="21" t="s">
        <v>91</v>
      </c>
      <c r="B29" s="8" t="s">
        <v>63</v>
      </c>
      <c r="C29" s="17">
        <v>28000</v>
      </c>
      <c r="D29">
        <v>14</v>
      </c>
      <c r="E29">
        <v>22</v>
      </c>
      <c r="F29">
        <v>17</v>
      </c>
      <c r="J29">
        <f t="shared" si="18"/>
        <v>96.52664</v>
      </c>
      <c r="K29">
        <f t="shared" si="19"/>
        <v>227.52707999999998</v>
      </c>
      <c r="L29">
        <f t="shared" si="20"/>
        <v>155.13210000000001</v>
      </c>
      <c r="V29">
        <v>15</v>
      </c>
      <c r="W29">
        <v>30</v>
      </c>
      <c r="AB29">
        <f t="shared" si="21"/>
        <v>15</v>
      </c>
      <c r="AC29">
        <f t="shared" si="22"/>
        <v>30</v>
      </c>
      <c r="AD29" s="31">
        <f>10^(Sheet5!$D$3*LOG10(AB29)+Sheet5!$D$2)</f>
        <v>98.390380189087139</v>
      </c>
      <c r="AE29" s="31">
        <f>10^(Sheet5!$D$3*LOG10(AC29)+Sheet5!$D$2)</f>
        <v>156.03191911633272</v>
      </c>
      <c r="AN29" s="31"/>
      <c r="AO29" s="31"/>
      <c r="AP29">
        <f t="shared" si="11"/>
        <v>-8.3054496480365891E-3</v>
      </c>
      <c r="AQ29">
        <f t="shared" si="12"/>
        <v>0.16381964314021902</v>
      </c>
      <c r="AT29" t="str">
        <f t="shared" si="14"/>
        <v>SW-SM</v>
      </c>
      <c r="AU29" s="75">
        <f t="shared" si="15"/>
        <v>97.45851009454357</v>
      </c>
      <c r="AV29" s="75">
        <f t="shared" si="3"/>
        <v>191.77949955816635</v>
      </c>
      <c r="AW29" s="52"/>
      <c r="AX29" s="52">
        <f t="shared" si="24"/>
        <v>14.135156277309664</v>
      </c>
      <c r="AY29" s="52">
        <f t="shared" si="25"/>
        <v>27.815253838881464</v>
      </c>
      <c r="AZ29" s="52"/>
    </row>
    <row r="30" spans="1:52" ht="15.75" thickBot="1" x14ac:dyDescent="0.3">
      <c r="A30" s="21" t="s">
        <v>92</v>
      </c>
      <c r="B30" s="8" t="s">
        <v>63</v>
      </c>
      <c r="C30" s="17">
        <v>28000</v>
      </c>
      <c r="D30">
        <v>14</v>
      </c>
      <c r="E30">
        <v>22</v>
      </c>
      <c r="F30">
        <v>17</v>
      </c>
      <c r="J30">
        <f t="shared" si="18"/>
        <v>96.52664</v>
      </c>
      <c r="K30">
        <f t="shared" si="19"/>
        <v>227.52707999999998</v>
      </c>
      <c r="L30">
        <f t="shared" si="20"/>
        <v>155.13210000000001</v>
      </c>
      <c r="V30">
        <v>15</v>
      </c>
      <c r="W30">
        <v>30</v>
      </c>
      <c r="AB30">
        <f t="shared" si="21"/>
        <v>15</v>
      </c>
      <c r="AC30">
        <f t="shared" si="22"/>
        <v>30</v>
      </c>
      <c r="AD30" s="31">
        <f>10^(Sheet5!$D$3*LOG10(AB30)+Sheet5!$D$2)</f>
        <v>98.390380189087139</v>
      </c>
      <c r="AE30" s="31">
        <f>10^(Sheet5!$D$3*LOG10(AC30)+Sheet5!$D$2)</f>
        <v>156.03191911633272</v>
      </c>
      <c r="AN30" s="31"/>
      <c r="AO30" s="31"/>
      <c r="AP30">
        <f t="shared" si="11"/>
        <v>-8.3054496480365891E-3</v>
      </c>
      <c r="AQ30">
        <f t="shared" si="12"/>
        <v>0.16381964314021902</v>
      </c>
      <c r="AT30" t="str">
        <f t="shared" si="14"/>
        <v>SP-SM</v>
      </c>
      <c r="AU30" s="75">
        <f t="shared" si="15"/>
        <v>97.45851009454357</v>
      </c>
      <c r="AV30" s="75">
        <f t="shared" si="3"/>
        <v>191.77949955816635</v>
      </c>
      <c r="AW30" s="52"/>
      <c r="AX30" s="52">
        <f t="shared" si="24"/>
        <v>14.135156277309664</v>
      </c>
      <c r="AY30" s="52">
        <f t="shared" si="25"/>
        <v>27.815253838881464</v>
      </c>
      <c r="AZ30" s="52"/>
    </row>
    <row r="31" spans="1:52" ht="15.75" thickBot="1" x14ac:dyDescent="0.3">
      <c r="A31" s="21" t="s">
        <v>93</v>
      </c>
      <c r="B31" s="8" t="s">
        <v>65</v>
      </c>
      <c r="C31" s="17">
        <v>25500</v>
      </c>
      <c r="D31">
        <v>12</v>
      </c>
      <c r="E31">
        <v>20</v>
      </c>
      <c r="F31">
        <v>15</v>
      </c>
      <c r="J31">
        <f t="shared" si="18"/>
        <v>82.73711999999999</v>
      </c>
      <c r="K31">
        <f t="shared" si="19"/>
        <v>213.73756</v>
      </c>
      <c r="L31">
        <f t="shared" si="20"/>
        <v>139.61888999999999</v>
      </c>
      <c r="V31">
        <v>10</v>
      </c>
      <c r="W31">
        <v>25</v>
      </c>
      <c r="AB31">
        <f t="shared" si="21"/>
        <v>10</v>
      </c>
      <c r="AC31">
        <f t="shared" si="22"/>
        <v>25</v>
      </c>
      <c r="AD31" s="31">
        <f>10^(Sheet5!$D$3*LOG10(AB31)+Sheet5!$D$2)</f>
        <v>75.128994024594888</v>
      </c>
      <c r="AE31" s="31">
        <f>10^(Sheet5!$D$3*LOG10(AC31)+Sheet5!$D$2)</f>
        <v>138.20952252056165</v>
      </c>
      <c r="AN31" s="31"/>
      <c r="AO31" s="31"/>
      <c r="AP31">
        <f t="shared" si="11"/>
        <v>4.1892825761007391E-2</v>
      </c>
      <c r="AQ31">
        <f t="shared" si="12"/>
        <v>0.18934288063799309</v>
      </c>
      <c r="AT31" t="str">
        <f t="shared" si="14"/>
        <v>SW-SC</v>
      </c>
      <c r="AU31" s="75">
        <f t="shared" si="15"/>
        <v>78.933057012297439</v>
      </c>
      <c r="AV31" s="75">
        <f t="shared" si="3"/>
        <v>175.97354126028083</v>
      </c>
      <c r="AW31" s="52"/>
      <c r="AX31" s="52">
        <f t="shared" si="24"/>
        <v>11.448267526686562</v>
      </c>
      <c r="AY31" s="52">
        <f t="shared" si="25"/>
        <v>25.522794304701083</v>
      </c>
      <c r="AZ31" s="52"/>
    </row>
    <row r="32" spans="1:52" ht="15.75" thickBot="1" x14ac:dyDescent="0.3">
      <c r="A32" s="21" t="s">
        <v>94</v>
      </c>
      <c r="B32" s="8" t="s">
        <v>65</v>
      </c>
      <c r="C32" s="17">
        <v>25500</v>
      </c>
      <c r="D32">
        <v>12</v>
      </c>
      <c r="E32">
        <v>20</v>
      </c>
      <c r="F32">
        <v>15</v>
      </c>
      <c r="J32">
        <f t="shared" si="18"/>
        <v>82.73711999999999</v>
      </c>
      <c r="K32">
        <f t="shared" si="19"/>
        <v>213.73756</v>
      </c>
      <c r="L32">
        <f t="shared" si="20"/>
        <v>139.61888999999999</v>
      </c>
      <c r="V32">
        <v>10</v>
      </c>
      <c r="W32">
        <v>25</v>
      </c>
      <c r="AB32">
        <f t="shared" si="21"/>
        <v>10</v>
      </c>
      <c r="AC32">
        <f t="shared" si="22"/>
        <v>25</v>
      </c>
      <c r="AD32" s="31">
        <f>10^(Sheet5!$D$3*LOG10(AB32)+Sheet5!$D$2)</f>
        <v>75.128994024594888</v>
      </c>
      <c r="AE32" s="31">
        <f>10^(Sheet5!$D$3*LOG10(AC32)+Sheet5!$D$2)</f>
        <v>138.20952252056165</v>
      </c>
      <c r="AN32" s="31"/>
      <c r="AO32" s="31"/>
      <c r="AP32">
        <f t="shared" si="11"/>
        <v>4.1892825761007391E-2</v>
      </c>
      <c r="AQ32">
        <f t="shared" si="12"/>
        <v>0.18934288063799309</v>
      </c>
      <c r="AT32" t="str">
        <f t="shared" si="14"/>
        <v>SP-SC</v>
      </c>
      <c r="AU32" s="75">
        <f t="shared" si="15"/>
        <v>78.933057012297439</v>
      </c>
      <c r="AV32" s="75">
        <f t="shared" si="3"/>
        <v>175.97354126028083</v>
      </c>
      <c r="AW32" s="52"/>
      <c r="AX32" s="52">
        <f t="shared" si="24"/>
        <v>11.448267526686562</v>
      </c>
      <c r="AY32" s="52">
        <f t="shared" si="25"/>
        <v>25.522794304701083</v>
      </c>
      <c r="AZ32" s="52"/>
    </row>
    <row r="33" spans="1:52" ht="15.75" thickBot="1" x14ac:dyDescent="0.3">
      <c r="A33" s="21" t="s">
        <v>24</v>
      </c>
      <c r="B33" s="8" t="s">
        <v>73</v>
      </c>
      <c r="C33" s="17">
        <v>20000</v>
      </c>
      <c r="D33">
        <v>9</v>
      </c>
      <c r="E33">
        <v>15</v>
      </c>
      <c r="F33">
        <v>11</v>
      </c>
      <c r="J33">
        <f t="shared" si="18"/>
        <v>62.052839999999996</v>
      </c>
      <c r="K33">
        <f t="shared" si="19"/>
        <v>175.81638000000001</v>
      </c>
      <c r="L33">
        <f t="shared" si="20"/>
        <v>106.86878</v>
      </c>
      <c r="M33">
        <f>F33*6.89476</f>
        <v>75.842359999999999</v>
      </c>
      <c r="O33">
        <v>15</v>
      </c>
      <c r="P33">
        <v>5</v>
      </c>
      <c r="Q33">
        <v>15</v>
      </c>
      <c r="R33">
        <v>5</v>
      </c>
      <c r="S33">
        <v>15</v>
      </c>
      <c r="T33">
        <v>5</v>
      </c>
      <c r="U33">
        <v>15</v>
      </c>
      <c r="V33">
        <v>8</v>
      </c>
      <c r="W33">
        <v>16</v>
      </c>
      <c r="X33">
        <v>5</v>
      </c>
      <c r="Y33">
        <v>15</v>
      </c>
      <c r="Z33">
        <v>5</v>
      </c>
      <c r="AA33">
        <v>18</v>
      </c>
      <c r="AB33">
        <f t="shared" si="21"/>
        <v>5</v>
      </c>
      <c r="AC33">
        <f t="shared" si="22"/>
        <v>16</v>
      </c>
      <c r="AD33" s="31">
        <f>10^(Sheet5!$D$3*LOG10(AB33)+Sheet5!$D$2)</f>
        <v>47.374731575225404</v>
      </c>
      <c r="AE33" s="31">
        <f>10^(Sheet5!$D$3*LOG10(AC33)+Sheet5!$D$2)</f>
        <v>102.70670666431118</v>
      </c>
      <c r="AF33">
        <v>5</v>
      </c>
      <c r="AG33">
        <v>20</v>
      </c>
      <c r="AH33">
        <v>20</v>
      </c>
      <c r="AL33">
        <f t="shared" si="9"/>
        <v>5</v>
      </c>
      <c r="AM33">
        <f t="shared" si="10"/>
        <v>20</v>
      </c>
      <c r="AN33" s="31">
        <f>Sheet5!$G$3*ATANH(AL33/100)+Sheet5!$G$2</f>
        <v>19.044375606310187</v>
      </c>
      <c r="AO33" s="31">
        <f>Sheet5!$G$3*ATANH(AM33/100)+Sheet5!$G$2</f>
        <v>77.153906603543419</v>
      </c>
      <c r="AP33">
        <f t="shared" si="11"/>
        <v>0.11721490056410167</v>
      </c>
      <c r="AQ33">
        <f t="shared" si="12"/>
        <v>0.23346053023421032</v>
      </c>
      <c r="AR33">
        <f t="shared" si="13"/>
        <v>0.51299492449659745</v>
      </c>
      <c r="AS33">
        <f>LOG10(K33)-LOG10(AO33)</f>
        <v>0.3577014128522098</v>
      </c>
      <c r="AT33" t="str">
        <f t="shared" si="14"/>
        <v>ML</v>
      </c>
      <c r="AU33" s="75">
        <f t="shared" si="15"/>
        <v>47.374731575225404</v>
      </c>
      <c r="AV33" s="75">
        <f t="shared" si="3"/>
        <v>102.70670666431118</v>
      </c>
      <c r="AW33" s="52">
        <f t="shared" si="23"/>
        <v>75.842359999999999</v>
      </c>
      <c r="AX33" s="52">
        <f t="shared" si="24"/>
        <v>6.8711211956943252</v>
      </c>
      <c r="AY33" s="52">
        <f t="shared" si="25"/>
        <v>14.896342536116006</v>
      </c>
      <c r="AZ33" s="52">
        <f t="shared" si="26"/>
        <v>11</v>
      </c>
    </row>
    <row r="34" spans="1:52" ht="15.75" thickBot="1" x14ac:dyDescent="0.3">
      <c r="A34" s="21" t="s">
        <v>25</v>
      </c>
      <c r="B34" s="8" t="s">
        <v>75</v>
      </c>
      <c r="C34" s="17">
        <v>17000</v>
      </c>
      <c r="D34">
        <v>7</v>
      </c>
      <c r="E34">
        <v>14</v>
      </c>
      <c r="F34">
        <v>9</v>
      </c>
      <c r="J34">
        <f t="shared" si="18"/>
        <v>48.26332</v>
      </c>
      <c r="K34">
        <f t="shared" si="19"/>
        <v>165.47423999999998</v>
      </c>
      <c r="L34">
        <f t="shared" si="20"/>
        <v>89.631879999999995</v>
      </c>
      <c r="M34">
        <f>F34*6.89476</f>
        <v>62.052839999999996</v>
      </c>
      <c r="O34">
        <v>15</v>
      </c>
      <c r="P34">
        <v>5</v>
      </c>
      <c r="Q34">
        <v>15</v>
      </c>
      <c r="R34">
        <v>5</v>
      </c>
      <c r="S34">
        <v>15</v>
      </c>
      <c r="T34">
        <v>5</v>
      </c>
      <c r="U34">
        <v>15</v>
      </c>
      <c r="V34">
        <v>5</v>
      </c>
      <c r="W34">
        <v>15</v>
      </c>
      <c r="X34">
        <v>5</v>
      </c>
      <c r="Y34">
        <v>15</v>
      </c>
      <c r="Z34">
        <v>5</v>
      </c>
      <c r="AA34">
        <v>18</v>
      </c>
      <c r="AB34">
        <f t="shared" si="21"/>
        <v>5</v>
      </c>
      <c r="AC34">
        <f t="shared" si="22"/>
        <v>15</v>
      </c>
      <c r="AD34" s="31">
        <f>10^(Sheet5!$D$3*LOG10(AB34)+Sheet5!$D$2)</f>
        <v>47.374731575225404</v>
      </c>
      <c r="AE34" s="31">
        <f>10^(Sheet5!$D$3*LOG10(AC34)+Sheet5!$D$2)</f>
        <v>98.390380189087139</v>
      </c>
      <c r="AF34">
        <v>5</v>
      </c>
      <c r="AG34">
        <v>20</v>
      </c>
      <c r="AH34">
        <v>16</v>
      </c>
      <c r="AL34">
        <f t="shared" si="9"/>
        <v>5</v>
      </c>
      <c r="AM34">
        <f t="shared" si="10"/>
        <v>20</v>
      </c>
      <c r="AN34" s="31">
        <f>Sheet5!$G$3*ATANH(AL34/100)+Sheet5!$G$2</f>
        <v>19.044375606310187</v>
      </c>
      <c r="AO34" s="31">
        <f>Sheet5!$G$3*ATANH(AM34/100)+Sheet5!$G$2</f>
        <v>77.153906603543419</v>
      </c>
      <c r="AP34">
        <f t="shared" si="11"/>
        <v>8.070431139033607E-3</v>
      </c>
      <c r="AQ34">
        <f t="shared" si="12"/>
        <v>0.22577775638533137</v>
      </c>
      <c r="AR34">
        <f t="shared" si="13"/>
        <v>0.40385045507152939</v>
      </c>
      <c r="AS34">
        <f>LOG10(K34)-LOG10(AO34)</f>
        <v>0.33137247412986071</v>
      </c>
      <c r="AT34" t="str">
        <f t="shared" si="14"/>
        <v>CL</v>
      </c>
      <c r="AU34" s="75">
        <f t="shared" si="15"/>
        <v>47.374731575225404</v>
      </c>
      <c r="AV34" s="75">
        <f t="shared" si="3"/>
        <v>98.390380189087139</v>
      </c>
      <c r="AW34" s="52">
        <f t="shared" si="23"/>
        <v>62.052839999999996</v>
      </c>
      <c r="AX34" s="52">
        <f t="shared" si="24"/>
        <v>6.8711211956943252</v>
      </c>
      <c r="AY34" s="52">
        <f t="shared" si="25"/>
        <v>14.270312554619325</v>
      </c>
      <c r="AZ34" s="52">
        <f t="shared" si="26"/>
        <v>9</v>
      </c>
    </row>
    <row r="35" spans="1:52" ht="15.75" thickBot="1" x14ac:dyDescent="0.3">
      <c r="A35" s="21" t="s">
        <v>26</v>
      </c>
      <c r="B35" s="8"/>
      <c r="C35" s="17"/>
      <c r="O35">
        <v>5</v>
      </c>
      <c r="P35">
        <v>4</v>
      </c>
      <c r="Q35">
        <v>8</v>
      </c>
      <c r="R35">
        <v>4</v>
      </c>
      <c r="S35">
        <v>8</v>
      </c>
      <c r="T35">
        <v>4</v>
      </c>
      <c r="U35">
        <v>8</v>
      </c>
      <c r="X35">
        <v>4</v>
      </c>
      <c r="Y35">
        <v>8</v>
      </c>
      <c r="Z35">
        <v>4</v>
      </c>
      <c r="AA35">
        <v>8</v>
      </c>
      <c r="AB35">
        <f t="shared" si="21"/>
        <v>4</v>
      </c>
      <c r="AC35">
        <f t="shared" si="22"/>
        <v>8</v>
      </c>
      <c r="AD35" s="31">
        <f>10^(Sheet5!$D$3*LOG10(AB35)+Sheet5!$D$2)</f>
        <v>40.839195738541783</v>
      </c>
      <c r="AE35" s="31">
        <f>10^(Sheet5!$D$3*LOG10(AC35)+Sheet5!$D$2)</f>
        <v>64.764645425762922</v>
      </c>
      <c r="AG35">
        <v>7</v>
      </c>
      <c r="AM35">
        <f t="shared" si="10"/>
        <v>7</v>
      </c>
      <c r="AN35" s="31"/>
      <c r="AO35" s="31">
        <f>Sheet5!$G$3*ATANH(AM35/100)+Sheet5!$G$2</f>
        <v>26.683532777665828</v>
      </c>
      <c r="AT35" t="str">
        <f t="shared" si="14"/>
        <v>OL</v>
      </c>
      <c r="AU35" s="75">
        <f t="shared" si="15"/>
        <v>40.839195738541783</v>
      </c>
      <c r="AV35" s="75">
        <f t="shared" si="3"/>
        <v>45.72408910171437</v>
      </c>
      <c r="AW35" s="52"/>
      <c r="AX35" s="52">
        <f t="shared" si="24"/>
        <v>5.9232222352252704</v>
      </c>
      <c r="AY35" s="52">
        <f t="shared" si="25"/>
        <v>6.6317158395236921</v>
      </c>
      <c r="AZ35" s="52"/>
    </row>
    <row r="36" spans="1:52" ht="15.75" thickBot="1" x14ac:dyDescent="0.3">
      <c r="A36" s="21" t="s">
        <v>27</v>
      </c>
      <c r="B36" s="8" t="s">
        <v>77</v>
      </c>
      <c r="C36" s="17">
        <v>11500</v>
      </c>
      <c r="D36">
        <v>4</v>
      </c>
      <c r="E36">
        <v>9.5</v>
      </c>
      <c r="F36">
        <v>6</v>
      </c>
      <c r="J36">
        <f>MIN(D36*1000,VALUE(LEFT(B36,FIND("-",B36)-1)))*6.89476/1000</f>
        <v>27.579039999999999</v>
      </c>
      <c r="K36">
        <f>MAX(E36*1000,VALUE(RIGHT(B36,LEN(B36)-FIND("-",B36))))*6.89476/1000</f>
        <v>120.6583</v>
      </c>
      <c r="L36">
        <f t="shared" si="20"/>
        <v>60.329149999999998</v>
      </c>
      <c r="M36">
        <f>F36*6.89476</f>
        <v>41.368560000000002</v>
      </c>
      <c r="O36">
        <v>10</v>
      </c>
      <c r="P36">
        <v>4</v>
      </c>
      <c r="Q36">
        <v>8</v>
      </c>
      <c r="R36">
        <v>4</v>
      </c>
      <c r="S36">
        <v>8</v>
      </c>
      <c r="T36">
        <v>4</v>
      </c>
      <c r="U36">
        <v>8</v>
      </c>
      <c r="V36">
        <v>2</v>
      </c>
      <c r="W36">
        <v>8</v>
      </c>
      <c r="X36">
        <v>4</v>
      </c>
      <c r="Y36">
        <v>8</v>
      </c>
      <c r="Z36">
        <v>1</v>
      </c>
      <c r="AA36">
        <v>4</v>
      </c>
      <c r="AB36">
        <f t="shared" si="21"/>
        <v>2</v>
      </c>
      <c r="AC36">
        <f t="shared" si="22"/>
        <v>10</v>
      </c>
      <c r="AD36" s="31">
        <f>10^(Sheet5!$D$3*LOG10(AB36)+Sheet5!$D$2)</f>
        <v>25.752320538567702</v>
      </c>
      <c r="AE36" s="31">
        <f>10^(Sheet5!$D$3*LOG10(AC36)+Sheet5!$D$2)</f>
        <v>75.128994024594888</v>
      </c>
      <c r="AF36">
        <v>5</v>
      </c>
      <c r="AG36">
        <v>20</v>
      </c>
      <c r="AH36">
        <v>9</v>
      </c>
      <c r="AL36">
        <f t="shared" si="9"/>
        <v>5</v>
      </c>
      <c r="AM36">
        <f t="shared" si="10"/>
        <v>20</v>
      </c>
      <c r="AN36" s="31">
        <f>Sheet5!$G$3*ATANH(AL36/100)+Sheet5!$G$2</f>
        <v>19.044375606310187</v>
      </c>
      <c r="AO36" s="31">
        <f>Sheet5!$G$3*ATANH(AM36/100)+Sheet5!$G$2</f>
        <v>77.153906603543419</v>
      </c>
      <c r="AP36">
        <f t="shared" si="11"/>
        <v>2.9762775362401461E-2</v>
      </c>
      <c r="AQ36">
        <f t="shared" si="12"/>
        <v>0.20574962839967714</v>
      </c>
      <c r="AR36">
        <f t="shared" si="13"/>
        <v>0.16081240638523497</v>
      </c>
      <c r="AS36">
        <f>LOG10(K36)-LOG10(AO36)</f>
        <v>0.1941992811045492</v>
      </c>
      <c r="AT36" t="str">
        <f t="shared" si="14"/>
        <v>MH</v>
      </c>
      <c r="AU36" s="75">
        <f t="shared" si="15"/>
        <v>25.752320538567702</v>
      </c>
      <c r="AV36" s="75">
        <f t="shared" si="3"/>
        <v>77.153906603543419</v>
      </c>
      <c r="AW36" s="52">
        <f t="shared" si="23"/>
        <v>41.368560000000002</v>
      </c>
      <c r="AX36" s="52">
        <f t="shared" si="24"/>
        <v>3.7350568458608717</v>
      </c>
      <c r="AY36" s="52">
        <f t="shared" si="25"/>
        <v>11.190223677625243</v>
      </c>
      <c r="AZ36" s="52">
        <f t="shared" si="26"/>
        <v>6.0000000000000009</v>
      </c>
    </row>
    <row r="37" spans="1:52" ht="15.75" thickBot="1" x14ac:dyDescent="0.3">
      <c r="A37" s="22" t="s">
        <v>28</v>
      </c>
      <c r="B37" s="22" t="s">
        <v>79</v>
      </c>
      <c r="C37" s="22">
        <v>8000</v>
      </c>
      <c r="D37">
        <v>2.5</v>
      </c>
      <c r="E37">
        <v>7</v>
      </c>
      <c r="F37">
        <v>4</v>
      </c>
      <c r="J37">
        <f>MIN(D37*1000,VALUE(LEFT(B37,FIND("-",B37)-1)))*6.89476/1000</f>
        <v>17.236899999999999</v>
      </c>
      <c r="K37">
        <f>MAX(E37*1000,VALUE(RIGHT(B37,LEN(B37)-FIND("-",B37))))*6.89476/1000</f>
        <v>93.079259999999991</v>
      </c>
      <c r="L37">
        <f t="shared" si="20"/>
        <v>41.368559999999995</v>
      </c>
      <c r="M37">
        <f>F37*6.89476</f>
        <v>27.579039999999999</v>
      </c>
      <c r="O37">
        <v>15</v>
      </c>
      <c r="P37">
        <v>3</v>
      </c>
      <c r="Q37">
        <v>5</v>
      </c>
      <c r="R37">
        <v>3</v>
      </c>
      <c r="S37">
        <v>5</v>
      </c>
      <c r="T37">
        <v>3</v>
      </c>
      <c r="U37">
        <v>5</v>
      </c>
      <c r="V37">
        <v>1</v>
      </c>
      <c r="W37">
        <v>5</v>
      </c>
      <c r="X37">
        <v>3</v>
      </c>
      <c r="Y37">
        <v>5</v>
      </c>
      <c r="Z37">
        <v>3</v>
      </c>
      <c r="AA37">
        <v>5</v>
      </c>
      <c r="AB37">
        <f t="shared" si="21"/>
        <v>1</v>
      </c>
      <c r="AC37">
        <f t="shared" si="22"/>
        <v>15</v>
      </c>
      <c r="AD37" s="31">
        <f>10^(Sheet5!$D$3*LOG10(AB37)+Sheet5!$D$2)</f>
        <v>16.238860759328354</v>
      </c>
      <c r="AE37" s="31">
        <f>10^(Sheet5!$D$3*LOG10(AC37)+Sheet5!$D$2)</f>
        <v>98.390380189087139</v>
      </c>
      <c r="AF37">
        <v>5</v>
      </c>
      <c r="AG37">
        <v>20</v>
      </c>
      <c r="AH37">
        <v>6</v>
      </c>
      <c r="AL37">
        <f t="shared" si="9"/>
        <v>5</v>
      </c>
      <c r="AM37">
        <f t="shared" si="10"/>
        <v>20</v>
      </c>
      <c r="AN37" s="31">
        <f>Sheet5!$G$3*ATANH(AL37/100)+Sheet5!$G$2</f>
        <v>19.044375606310187</v>
      </c>
      <c r="AO37" s="31">
        <f>Sheet5!$G$3*ATANH(AM37/100)+Sheet5!$G$2</f>
        <v>77.153906603543419</v>
      </c>
      <c r="AP37">
        <f t="shared" si="11"/>
        <v>2.5903604117871071E-2</v>
      </c>
      <c r="AQ37">
        <f t="shared" si="12"/>
        <v>-2.4099716831268658E-2</v>
      </c>
      <c r="AR37">
        <f t="shared" si="13"/>
        <v>-4.3307576270689818E-2</v>
      </c>
      <c r="AS37">
        <f>LOG10(K37)-LOG10(AO37)</f>
        <v>8.1495000913260673E-2</v>
      </c>
      <c r="AT37" t="str">
        <f t="shared" si="14"/>
        <v>CH</v>
      </c>
      <c r="AU37" s="75">
        <f t="shared" si="15"/>
        <v>17.236899999999999</v>
      </c>
      <c r="AV37" s="75">
        <f t="shared" si="3"/>
        <v>93.079259999999991</v>
      </c>
      <c r="AW37" s="52">
        <f t="shared" si="23"/>
        <v>27.579039999999999</v>
      </c>
      <c r="AX37" s="52">
        <f t="shared" si="24"/>
        <v>2.5</v>
      </c>
      <c r="AY37" s="52">
        <f t="shared" si="25"/>
        <v>13.499999999999998</v>
      </c>
      <c r="AZ37" s="52">
        <f t="shared" si="26"/>
        <v>4</v>
      </c>
    </row>
    <row r="38" spans="1:52" ht="15.75" thickBot="1" x14ac:dyDescent="0.3">
      <c r="A38" s="22" t="s">
        <v>29</v>
      </c>
      <c r="B38" s="22"/>
      <c r="C38" s="22"/>
      <c r="O38">
        <v>5</v>
      </c>
      <c r="P38">
        <v>3</v>
      </c>
      <c r="Q38">
        <v>5</v>
      </c>
      <c r="R38">
        <v>3</v>
      </c>
      <c r="S38">
        <v>5</v>
      </c>
      <c r="T38">
        <v>3</v>
      </c>
      <c r="U38">
        <v>5</v>
      </c>
      <c r="X38">
        <v>3</v>
      </c>
      <c r="Y38">
        <v>5</v>
      </c>
      <c r="Z38">
        <v>1</v>
      </c>
      <c r="AA38">
        <v>3</v>
      </c>
      <c r="AB38">
        <f t="shared" si="21"/>
        <v>3</v>
      </c>
      <c r="AC38">
        <f t="shared" si="22"/>
        <v>5</v>
      </c>
      <c r="AD38" s="31">
        <f>10^(Sheet5!$D$3*LOG10(AB38)+Sheet5!$D$2)</f>
        <v>33.72573586851744</v>
      </c>
      <c r="AE38" s="31">
        <f>10^(Sheet5!$D$3*LOG10(AC38)+Sheet5!$D$2)</f>
        <v>47.374731575225404</v>
      </c>
      <c r="AG38">
        <v>7</v>
      </c>
      <c r="AM38">
        <f t="shared" si="10"/>
        <v>7</v>
      </c>
      <c r="AN38" s="31"/>
      <c r="AO38" s="31">
        <f>Sheet5!$G$3*ATANH(AM38/100)+Sheet5!$G$2</f>
        <v>26.683532777665828</v>
      </c>
      <c r="AT38" t="str">
        <f t="shared" si="14"/>
        <v>OH</v>
      </c>
      <c r="AU38" s="75">
        <f t="shared" si="15"/>
        <v>33.72573586851744</v>
      </c>
      <c r="AV38" s="75">
        <f t="shared" si="3"/>
        <v>37.029132176445614</v>
      </c>
      <c r="AW38" s="52"/>
      <c r="AX38" s="52">
        <f t="shared" si="24"/>
        <v>4.891502513287981</v>
      </c>
      <c r="AY38" s="52">
        <f t="shared" si="25"/>
        <v>5.3706194525183788</v>
      </c>
      <c r="AZ38" s="52"/>
    </row>
    <row r="39" spans="1:52" ht="15.75" thickBot="1" x14ac:dyDescent="0.3">
      <c r="A39" s="22" t="s">
        <v>212</v>
      </c>
      <c r="B39" s="22"/>
      <c r="C39" s="22"/>
      <c r="U39">
        <v>1</v>
      </c>
      <c r="AC39">
        <f t="shared" si="22"/>
        <v>1</v>
      </c>
      <c r="AD39" s="31"/>
      <c r="AE39" s="31">
        <f>10^(Sheet5!$D$3*LOG10(AC39)+Sheet5!$D$2)</f>
        <v>16.238860759328354</v>
      </c>
      <c r="AN39" s="31"/>
      <c r="AO39" s="31"/>
      <c r="AT39" t="str">
        <f t="shared" si="14"/>
        <v>Pt</v>
      </c>
      <c r="AU39" s="75"/>
      <c r="AV39" s="75"/>
    </row>
    <row r="40" spans="1:52" ht="15.75" thickBot="1" x14ac:dyDescent="0.3">
      <c r="A40" s="22" t="s">
        <v>213</v>
      </c>
      <c r="B40" s="22"/>
      <c r="C40" s="22"/>
      <c r="AD40" s="31"/>
      <c r="AE40" s="31"/>
      <c r="AN40" s="31"/>
      <c r="AO40" s="31"/>
      <c r="AT40" t="str">
        <f t="shared" si="14"/>
        <v>CL-ML</v>
      </c>
      <c r="AU40" s="75"/>
      <c r="AV40" s="75"/>
    </row>
    <row r="41" spans="1:52" x14ac:dyDescent="0.25">
      <c r="A41" s="22" t="s">
        <v>214</v>
      </c>
      <c r="B41" s="22"/>
      <c r="C41" s="22"/>
      <c r="D41" s="48"/>
      <c r="E41" s="48"/>
      <c r="F41" s="48"/>
      <c r="G41" s="48"/>
      <c r="H41" s="48"/>
      <c r="I41" s="48"/>
      <c r="AD41" s="31"/>
      <c r="AE41" s="31"/>
      <c r="AN41" s="31"/>
      <c r="AO41" s="31"/>
      <c r="AT41" t="str">
        <f t="shared" si="14"/>
        <v>SC-SM</v>
      </c>
      <c r="AU41" s="75"/>
      <c r="AV41" s="75"/>
    </row>
    <row r="42" spans="1:52" x14ac:dyDescent="0.25">
      <c r="A42" s="20"/>
    </row>
    <row r="43" spans="1:52" x14ac:dyDescent="0.25">
      <c r="AB43" t="s">
        <v>200</v>
      </c>
    </row>
    <row r="44" spans="1:52" x14ac:dyDescent="0.25">
      <c r="AB44" t="s">
        <v>201</v>
      </c>
      <c r="AD44" t="s">
        <v>202</v>
      </c>
    </row>
    <row r="45" spans="1:52" x14ac:dyDescent="0.25">
      <c r="AA45" t="s">
        <v>199</v>
      </c>
      <c r="AB45" t="s">
        <v>203</v>
      </c>
      <c r="AC45" t="s">
        <v>204</v>
      </c>
      <c r="AD45" t="s">
        <v>205</v>
      </c>
      <c r="AE45" t="s">
        <v>206</v>
      </c>
      <c r="AF45" t="s">
        <v>306</v>
      </c>
      <c r="AG45" t="s">
        <v>208</v>
      </c>
    </row>
    <row r="46" spans="1:52" x14ac:dyDescent="0.25">
      <c r="AA46">
        <v>80</v>
      </c>
      <c r="AB46">
        <v>109</v>
      </c>
      <c r="AC46">
        <v>111</v>
      </c>
      <c r="AD46">
        <v>318</v>
      </c>
      <c r="AE46">
        <v>228</v>
      </c>
      <c r="AF46">
        <v>164</v>
      </c>
      <c r="AG46">
        <v>117</v>
      </c>
    </row>
    <row r="47" spans="1:52" x14ac:dyDescent="0.25">
      <c r="AA47">
        <v>45</v>
      </c>
      <c r="AB47">
        <v>80</v>
      </c>
      <c r="AC47">
        <v>85</v>
      </c>
      <c r="AD47">
        <v>244</v>
      </c>
      <c r="AE47">
        <v>175</v>
      </c>
      <c r="AF47">
        <v>126</v>
      </c>
      <c r="AG47">
        <v>90</v>
      </c>
    </row>
    <row r="48" spans="1:52" x14ac:dyDescent="0.25">
      <c r="AA48">
        <v>25</v>
      </c>
      <c r="AB48">
        <v>59</v>
      </c>
      <c r="AC48">
        <v>65</v>
      </c>
      <c r="AD48">
        <v>186</v>
      </c>
      <c r="AE48">
        <v>134</v>
      </c>
      <c r="AF48">
        <v>96</v>
      </c>
      <c r="AG48">
        <v>69</v>
      </c>
    </row>
    <row r="49" spans="27:33" x14ac:dyDescent="0.25">
      <c r="AA49">
        <v>15</v>
      </c>
      <c r="AB49">
        <v>45</v>
      </c>
      <c r="AC49">
        <v>50</v>
      </c>
      <c r="AD49">
        <v>147</v>
      </c>
      <c r="AE49">
        <v>106</v>
      </c>
      <c r="AF49">
        <v>76</v>
      </c>
      <c r="AG49">
        <v>54</v>
      </c>
    </row>
    <row r="50" spans="27:33" x14ac:dyDescent="0.25">
      <c r="AA50">
        <v>10</v>
      </c>
      <c r="AB50">
        <v>38</v>
      </c>
      <c r="AC50">
        <v>43</v>
      </c>
      <c r="AD50">
        <v>122</v>
      </c>
      <c r="AE50">
        <v>88</v>
      </c>
      <c r="AF50">
        <v>63</v>
      </c>
      <c r="AG50">
        <v>45</v>
      </c>
    </row>
    <row r="51" spans="27:33" x14ac:dyDescent="0.25">
      <c r="AA51">
        <v>7</v>
      </c>
      <c r="AB51">
        <v>33</v>
      </c>
      <c r="AC51">
        <v>37</v>
      </c>
      <c r="AD51">
        <v>103</v>
      </c>
      <c r="AE51">
        <v>75</v>
      </c>
      <c r="AF51">
        <v>54</v>
      </c>
      <c r="AG51">
        <v>38</v>
      </c>
    </row>
    <row r="52" spans="27:33" x14ac:dyDescent="0.25">
      <c r="AA52">
        <v>3</v>
      </c>
      <c r="AB52">
        <v>20</v>
      </c>
      <c r="AC52">
        <v>24</v>
      </c>
      <c r="AD52">
        <v>70</v>
      </c>
      <c r="AE52">
        <v>51</v>
      </c>
      <c r="AF52">
        <v>36</v>
      </c>
      <c r="AG52">
        <v>26</v>
      </c>
    </row>
    <row r="55" spans="27:33" x14ac:dyDescent="0.25">
      <c r="AB55" t="s">
        <v>200</v>
      </c>
    </row>
    <row r="56" spans="27:33" x14ac:dyDescent="0.25">
      <c r="AB56" t="s">
        <v>201</v>
      </c>
      <c r="AD56" t="s">
        <v>202</v>
      </c>
    </row>
    <row r="57" spans="27:33" x14ac:dyDescent="0.25">
      <c r="AA57" t="s">
        <v>199</v>
      </c>
      <c r="AB57" t="s">
        <v>203</v>
      </c>
      <c r="AC57" t="s">
        <v>204</v>
      </c>
      <c r="AD57" t="s">
        <v>205</v>
      </c>
      <c r="AE57" t="s">
        <v>206</v>
      </c>
      <c r="AF57" t="s">
        <v>207</v>
      </c>
      <c r="AG57" t="s">
        <v>208</v>
      </c>
    </row>
    <row r="58" spans="27:33" x14ac:dyDescent="0.25">
      <c r="AA58">
        <v>80</v>
      </c>
      <c r="AD58">
        <v>260</v>
      </c>
      <c r="AE58">
        <v>205</v>
      </c>
      <c r="AF58">
        <v>151</v>
      </c>
      <c r="AG58">
        <v>96</v>
      </c>
    </row>
    <row r="59" spans="27:33" x14ac:dyDescent="0.25">
      <c r="AA59">
        <v>45</v>
      </c>
      <c r="AD59">
        <v>188</v>
      </c>
      <c r="AE59">
        <v>148</v>
      </c>
      <c r="AF59">
        <v>109</v>
      </c>
      <c r="AG59">
        <v>69</v>
      </c>
    </row>
    <row r="60" spans="27:33" x14ac:dyDescent="0.25">
      <c r="AA60">
        <v>25</v>
      </c>
      <c r="AB60">
        <v>56</v>
      </c>
      <c r="AC60">
        <v>66</v>
      </c>
      <c r="AD60">
        <v>146</v>
      </c>
      <c r="AE60">
        <v>115</v>
      </c>
      <c r="AF60">
        <v>85</v>
      </c>
      <c r="AG60">
        <v>54</v>
      </c>
    </row>
    <row r="61" spans="27:33" x14ac:dyDescent="0.25">
      <c r="AA61">
        <v>15</v>
      </c>
      <c r="AB61">
        <v>52</v>
      </c>
      <c r="AC61">
        <v>62</v>
      </c>
      <c r="AD61">
        <v>137</v>
      </c>
      <c r="AE61">
        <v>108</v>
      </c>
      <c r="AF61">
        <v>79</v>
      </c>
      <c r="AG61">
        <v>50</v>
      </c>
    </row>
    <row r="62" spans="27:33" x14ac:dyDescent="0.25">
      <c r="AA62">
        <v>10</v>
      </c>
      <c r="AB62">
        <v>39</v>
      </c>
      <c r="AC62">
        <v>46</v>
      </c>
      <c r="AD62">
        <v>101</v>
      </c>
      <c r="AE62">
        <v>80</v>
      </c>
      <c r="AF62">
        <v>59</v>
      </c>
      <c r="AG62">
        <v>37</v>
      </c>
    </row>
    <row r="63" spans="27:33" x14ac:dyDescent="0.25">
      <c r="AA63">
        <v>7</v>
      </c>
      <c r="AB63">
        <v>38</v>
      </c>
      <c r="AC63">
        <v>44</v>
      </c>
    </row>
    <row r="64" spans="27:33" x14ac:dyDescent="0.25">
      <c r="AA64">
        <v>3</v>
      </c>
      <c r="AB64">
        <v>35</v>
      </c>
      <c r="AC64">
        <v>41</v>
      </c>
    </row>
    <row r="66" spans="1:28" x14ac:dyDescent="0.25">
      <c r="Z66" t="s">
        <v>210</v>
      </c>
    </row>
    <row r="67" spans="1:28" x14ac:dyDescent="0.25">
      <c r="Z67">
        <f>300/AB69</f>
        <v>6</v>
      </c>
    </row>
    <row r="68" spans="1:28" x14ac:dyDescent="0.25">
      <c r="Z68">
        <f t="shared" ref="Z68:Z77" si="27">300/AB70</f>
        <v>6.8181818181818183</v>
      </c>
      <c r="AA68" t="s">
        <v>209</v>
      </c>
      <c r="AB68" t="s">
        <v>210</v>
      </c>
    </row>
    <row r="69" spans="1:28" x14ac:dyDescent="0.25">
      <c r="Z69">
        <f t="shared" si="27"/>
        <v>7.8947368421052628</v>
      </c>
      <c r="AA69">
        <v>5</v>
      </c>
      <c r="AB69">
        <v>50</v>
      </c>
    </row>
    <row r="70" spans="1:28" x14ac:dyDescent="0.25">
      <c r="Z70">
        <f t="shared" si="27"/>
        <v>9.0909090909090917</v>
      </c>
      <c r="AA70">
        <v>6</v>
      </c>
      <c r="AB70">
        <v>44</v>
      </c>
    </row>
    <row r="71" spans="1:28" x14ac:dyDescent="0.25">
      <c r="Z71">
        <f t="shared" si="27"/>
        <v>10.714285714285714</v>
      </c>
      <c r="AA71">
        <v>7</v>
      </c>
      <c r="AB71">
        <v>38</v>
      </c>
    </row>
    <row r="72" spans="1:28" x14ac:dyDescent="0.25">
      <c r="Z72">
        <f t="shared" si="27"/>
        <v>12.5</v>
      </c>
      <c r="AA72">
        <v>8</v>
      </c>
      <c r="AB72">
        <v>33</v>
      </c>
    </row>
    <row r="73" spans="1:28" x14ac:dyDescent="0.25">
      <c r="Z73">
        <f t="shared" si="27"/>
        <v>13.636363636363637</v>
      </c>
      <c r="AA73">
        <v>9</v>
      </c>
      <c r="AB73">
        <v>28</v>
      </c>
    </row>
    <row r="74" spans="1:28" x14ac:dyDescent="0.25">
      <c r="Z74">
        <f t="shared" si="27"/>
        <v>16.666666666666668</v>
      </c>
      <c r="AA74">
        <v>10</v>
      </c>
      <c r="AB74">
        <v>24</v>
      </c>
    </row>
    <row r="75" spans="1:28" x14ac:dyDescent="0.25">
      <c r="A75" t="s">
        <v>178</v>
      </c>
      <c r="B75" t="s">
        <v>177</v>
      </c>
      <c r="D75" t="s">
        <v>183</v>
      </c>
      <c r="Z75">
        <f t="shared" si="27"/>
        <v>18.75</v>
      </c>
      <c r="AA75">
        <v>12</v>
      </c>
      <c r="AB75">
        <v>22</v>
      </c>
    </row>
    <row r="76" spans="1:28" x14ac:dyDescent="0.25">
      <c r="B76" t="s">
        <v>143</v>
      </c>
      <c r="C76" t="s">
        <v>144</v>
      </c>
      <c r="D76" t="s">
        <v>143</v>
      </c>
      <c r="E76" t="s">
        <v>144</v>
      </c>
      <c r="Z76">
        <f t="shared" si="27"/>
        <v>20</v>
      </c>
      <c r="AA76">
        <v>14</v>
      </c>
      <c r="AB76">
        <v>18</v>
      </c>
    </row>
    <row r="77" spans="1:28" x14ac:dyDescent="0.25">
      <c r="A77" t="s">
        <v>181</v>
      </c>
      <c r="B77">
        <v>4</v>
      </c>
      <c r="C77">
        <v>10</v>
      </c>
      <c r="D77">
        <f>10^((-(1/0.71)*(LOG10(11)-2.2))^(1/1.5))</f>
        <v>24.325981116980813</v>
      </c>
      <c r="E77">
        <f>10^((-(1/0.71)*(LOG10(5)-2.2))^(1/1.5))</f>
        <v>44.384275366908106</v>
      </c>
      <c r="Z77">
        <f t="shared" si="27"/>
        <v>21.428571428571427</v>
      </c>
      <c r="AA77">
        <v>16</v>
      </c>
      <c r="AB77">
        <v>16</v>
      </c>
    </row>
    <row r="78" spans="1:28" x14ac:dyDescent="0.25">
      <c r="A78" t="s">
        <v>182</v>
      </c>
      <c r="B78">
        <f>6.14-4.05</f>
        <v>2.09</v>
      </c>
      <c r="C78">
        <f>6.14+4.05</f>
        <v>10.19</v>
      </c>
      <c r="D78">
        <f>6.8-3.45</f>
        <v>3.3499999999999996</v>
      </c>
      <c r="E78">
        <f>6.8+3.45</f>
        <v>10.25</v>
      </c>
      <c r="AA78">
        <v>18</v>
      </c>
      <c r="AB78">
        <v>15</v>
      </c>
    </row>
    <row r="79" spans="1:28" x14ac:dyDescent="0.25">
      <c r="A79" t="s">
        <v>182</v>
      </c>
      <c r="B79">
        <f>12.1-4.82</f>
        <v>7.2799999999999994</v>
      </c>
      <c r="C79">
        <f>12.1+4.82</f>
        <v>16.920000000000002</v>
      </c>
      <c r="D79">
        <f>14.9-4.29</f>
        <v>10.61</v>
      </c>
      <c r="E79">
        <f>14.9+4.29</f>
        <v>19.190000000000001</v>
      </c>
      <c r="AA79">
        <v>20</v>
      </c>
      <c r="AB79">
        <v>14</v>
      </c>
    </row>
    <row r="80" spans="1:28" x14ac:dyDescent="0.25">
      <c r="A80" t="s">
        <v>182</v>
      </c>
      <c r="B80">
        <f>11.02-2.11</f>
        <v>8.91</v>
      </c>
      <c r="C80">
        <f>11.02+2.11</f>
        <v>13.129999999999999</v>
      </c>
      <c r="D80">
        <f>12.96-3.75</f>
        <v>9.2100000000000009</v>
      </c>
      <c r="E80">
        <f>12.96+3.75</f>
        <v>16.71</v>
      </c>
    </row>
    <row r="81" spans="1:5" x14ac:dyDescent="0.25">
      <c r="A81" t="s">
        <v>182</v>
      </c>
      <c r="B81">
        <f>8.39-3.62</f>
        <v>4.7700000000000005</v>
      </c>
      <c r="C81">
        <f>8.39+3.62</f>
        <v>12.010000000000002</v>
      </c>
      <c r="D81">
        <f>7.88-3.23</f>
        <v>4.6500000000000004</v>
      </c>
      <c r="E81">
        <f>14.24+10.23</f>
        <v>24.47</v>
      </c>
    </row>
  </sheetData>
  <sortState xmlns:xlrd2="http://schemas.microsoft.com/office/spreadsheetml/2017/richdata2" ref="A110:E121">
    <sortCondition ref="A110:A121"/>
  </sortState>
  <mergeCells count="15">
    <mergeCell ref="AX2:AZ2"/>
    <mergeCell ref="A1:C1"/>
    <mergeCell ref="A3:C3"/>
    <mergeCell ref="A16:C16"/>
    <mergeCell ref="N2:O2"/>
    <mergeCell ref="P2:Q2"/>
    <mergeCell ref="AL2:AM2"/>
    <mergeCell ref="Z2:AA2"/>
    <mergeCell ref="X2:Y2"/>
    <mergeCell ref="AB2:AC2"/>
    <mergeCell ref="R2:S2"/>
    <mergeCell ref="T2:U2"/>
    <mergeCell ref="V2:W2"/>
    <mergeCell ref="N1:W1"/>
    <mergeCell ref="AU2:AW2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435D-EE99-4D9F-84D8-F2661C9AB64C}">
  <dimension ref="A1:R31"/>
  <sheetViews>
    <sheetView tabSelected="1" workbookViewId="0">
      <selection activeCell="P5" sqref="P5"/>
    </sheetView>
  </sheetViews>
  <sheetFormatPr defaultRowHeight="15" x14ac:dyDescent="0.25"/>
  <cols>
    <col min="3" max="3" width="11.28515625" bestFit="1" customWidth="1"/>
    <col min="4" max="4" width="12.140625" bestFit="1" customWidth="1"/>
    <col min="5" max="6" width="10.5703125" bestFit="1" customWidth="1"/>
    <col min="7" max="7" width="12.5703125" bestFit="1" customWidth="1"/>
    <col min="8" max="8" width="12.140625" bestFit="1" customWidth="1"/>
    <col min="9" max="11" width="11.28515625" bestFit="1" customWidth="1"/>
    <col min="12" max="12" width="10.5703125" bestFit="1" customWidth="1"/>
    <col min="13" max="13" width="11.28515625" bestFit="1" customWidth="1"/>
  </cols>
  <sheetData>
    <row r="1" spans="1:18" x14ac:dyDescent="0.25">
      <c r="A1" t="s">
        <v>140</v>
      </c>
    </row>
    <row r="2" spans="1:18" x14ac:dyDescent="0.25">
      <c r="C2" s="73">
        <v>2.6459464354375419</v>
      </c>
      <c r="D2" s="73">
        <v>1.2105555579536753</v>
      </c>
      <c r="E2" s="73">
        <v>1.3192962392598502</v>
      </c>
      <c r="F2" s="73">
        <v>1.4157398593426751</v>
      </c>
      <c r="G2" s="73">
        <v>0</v>
      </c>
      <c r="H2" s="74">
        <f>$C3*I2+$C2</f>
        <v>0.48928993366957885</v>
      </c>
      <c r="I2" s="73">
        <v>3.6228114051764848</v>
      </c>
      <c r="J2" s="74">
        <f>$C3*K2+$C2</f>
        <v>2.8671412791579227</v>
      </c>
      <c r="K2" s="73">
        <v>-0.37156923318085444</v>
      </c>
      <c r="L2" s="74">
        <f>$D3*M2+$D2</f>
        <v>3.7218619513626816E-2</v>
      </c>
      <c r="M2" s="73">
        <v>-1.7637480393775131</v>
      </c>
    </row>
    <row r="3" spans="1:18" x14ac:dyDescent="0.25">
      <c r="C3" s="73">
        <v>-0.59529913665569401</v>
      </c>
      <c r="D3" s="73">
        <v>0.66525201573245074</v>
      </c>
      <c r="E3" s="73">
        <v>0.52485441419887613</v>
      </c>
      <c r="F3" s="73">
        <v>0.60753745298233741</v>
      </c>
      <c r="G3" s="73">
        <v>380.56989398437406</v>
      </c>
      <c r="H3" s="74">
        <f>$C3*I3</f>
        <v>0.59902625182258451</v>
      </c>
      <c r="I3" s="73">
        <v>-1.0062609114265291</v>
      </c>
      <c r="J3" s="74">
        <f>$C3*K3</f>
        <v>-0.7152513133738031</v>
      </c>
      <c r="K3" s="73">
        <v>1.2014989932489797</v>
      </c>
      <c r="L3" s="74">
        <f>$D3*M3</f>
        <v>1.0125156528379338</v>
      </c>
      <c r="M3" s="73">
        <v>1.5220031339899682</v>
      </c>
      <c r="O3">
        <v>5</v>
      </c>
      <c r="P3">
        <f>10^(C$3*LOG10(O3)+C$2)</f>
        <v>169.76579646258625</v>
      </c>
      <c r="Q3">
        <f>10^((LOG10(P3)-F$2)/F$3)</f>
        <v>21.878457775912128</v>
      </c>
      <c r="R3">
        <f>100*TANH((P3-G$2)/G$3)</f>
        <v>41.867399218773606</v>
      </c>
    </row>
    <row r="4" spans="1:18" x14ac:dyDescent="0.25">
      <c r="B4" t="s">
        <v>123</v>
      </c>
      <c r="C4" t="s">
        <v>4</v>
      </c>
      <c r="D4" t="s">
        <v>177</v>
      </c>
      <c r="E4" t="s">
        <v>372</v>
      </c>
      <c r="F4" t="s">
        <v>188</v>
      </c>
      <c r="G4" t="s">
        <v>2</v>
      </c>
      <c r="H4" t="s">
        <v>107</v>
      </c>
      <c r="I4" t="s">
        <v>4</v>
      </c>
      <c r="J4" s="26" t="s">
        <v>176</v>
      </c>
      <c r="K4" s="26" t="s">
        <v>4</v>
      </c>
      <c r="L4" s="26" t="s">
        <v>380</v>
      </c>
      <c r="M4" s="35" t="s">
        <v>177</v>
      </c>
      <c r="O4">
        <f>10^((LOG10(P4)-C$2)/C$3)</f>
        <v>124.86358741600857</v>
      </c>
      <c r="P4">
        <v>25</v>
      </c>
      <c r="Q4">
        <f>10^((LOG10(P4)-F$2)/F$3)</f>
        <v>0.93476327301102713</v>
      </c>
      <c r="R4">
        <f>100*TANH((P4-G$2)/G$3)</f>
        <v>6.5596626302014212</v>
      </c>
    </row>
    <row r="5" spans="1:18" x14ac:dyDescent="0.25">
      <c r="A5">
        <v>0</v>
      </c>
      <c r="B5" s="53">
        <f>10^A5</f>
        <v>1</v>
      </c>
      <c r="C5">
        <f>10^((LOG10($B5)-C$2)/C$3)</f>
        <v>27844.165464639664</v>
      </c>
      <c r="D5">
        <f>10^((LOG10($B5)-D$2)/D$3)</f>
        <v>1.5146256730638134E-2</v>
      </c>
      <c r="E5">
        <f>10^((LOG10($B5)-E$2)/E$3)</f>
        <v>3.064486648632115E-3</v>
      </c>
      <c r="F5">
        <f>10^((LOG10($B5)-F$2)/F$3)</f>
        <v>4.6742042116484821E-3</v>
      </c>
      <c r="G5">
        <f>100*TANH(($B5-G$2)/G$3)</f>
        <v>0.26276321756371113</v>
      </c>
      <c r="H5" s="53">
        <f t="shared" ref="H5:H13" si="0">10^A5</f>
        <v>1</v>
      </c>
      <c r="I5">
        <f>10^(I$3*LOG10($H5)+I$2)</f>
        <v>4195.7674086220104</v>
      </c>
      <c r="J5" s="54">
        <v>100</v>
      </c>
      <c r="K5">
        <f>10^(K$3*LOG10($J5)+K$2)</f>
        <v>107.50502222703217</v>
      </c>
      <c r="L5" s="54">
        <v>1</v>
      </c>
      <c r="M5">
        <f>10^(M$3*LOG10($L5)+M$2)</f>
        <v>1.7228678254250195E-2</v>
      </c>
      <c r="O5">
        <v>16</v>
      </c>
      <c r="P5">
        <f>10^(C$3*LOG10(O5)+C$2)</f>
        <v>84.944418826534346</v>
      </c>
      <c r="Q5">
        <f>10^((LOG10(P5)-F$2)/F$3)</f>
        <v>6.9991054383331983</v>
      </c>
      <c r="R5">
        <f>100*TANH((P5-G$2)/G$3)</f>
        <v>21.956897052090078</v>
      </c>
    </row>
    <row r="6" spans="1:18" x14ac:dyDescent="0.25">
      <c r="A6">
        <v>0.5</v>
      </c>
      <c r="B6" s="53">
        <f t="shared" ref="B6:B13" si="1">10^A6</f>
        <v>3.1622776601683795</v>
      </c>
      <c r="C6">
        <f t="shared" ref="C6:C13" si="2">10^((LOG10($B6)-C$2)/C$3)</f>
        <v>4025.5047062676208</v>
      </c>
      <c r="D6">
        <f t="shared" ref="D6:F13" si="3">10^((LOG10($B6)-D$2)/D$3)</f>
        <v>8.5487020437949146E-2</v>
      </c>
      <c r="E6">
        <f t="shared" si="3"/>
        <v>2.7479122517897872E-2</v>
      </c>
      <c r="F6">
        <f t="shared" si="3"/>
        <v>3.1095834159563848E-2</v>
      </c>
      <c r="G6">
        <f t="shared" ref="G6:G13" si="4">100*TANH(($B6-G$2)/G$3)</f>
        <v>0.83091304186844439</v>
      </c>
      <c r="H6" s="53">
        <f t="shared" si="0"/>
        <v>3.1622776601683795</v>
      </c>
      <c r="I6">
        <f t="shared" ref="I6:I13" si="5">10^(I$3*LOG10($H6)+I$2)</f>
        <v>1317.2886487374669</v>
      </c>
      <c r="J6" s="54">
        <v>50</v>
      </c>
      <c r="K6">
        <f t="shared" ref="K6:K13" si="6">10^(K$3*LOG10($J6)+K$2)</f>
        <v>46.745683749165124</v>
      </c>
      <c r="L6" s="54">
        <v>3.1622776601683795</v>
      </c>
      <c r="M6">
        <f t="shared" ref="M6:M13" si="7">10^(M$3*LOG10($L6)+M$2)</f>
        <v>9.9369596794968401E-2</v>
      </c>
    </row>
    <row r="7" spans="1:18" x14ac:dyDescent="0.25">
      <c r="A7">
        <v>1</v>
      </c>
      <c r="B7" s="53">
        <f t="shared" si="1"/>
        <v>10</v>
      </c>
      <c r="C7">
        <f t="shared" si="2"/>
        <v>581.97787111851835</v>
      </c>
      <c r="D7">
        <f t="shared" si="3"/>
        <v>0.48249747731896758</v>
      </c>
      <c r="E7">
        <f t="shared" si="3"/>
        <v>0.2464041325455584</v>
      </c>
      <c r="F7">
        <f t="shared" si="3"/>
        <v>0.20686963134160449</v>
      </c>
      <c r="G7">
        <f t="shared" si="4"/>
        <v>2.6270336406713923</v>
      </c>
      <c r="H7" s="53">
        <f t="shared" si="0"/>
        <v>10</v>
      </c>
      <c r="I7">
        <f t="shared" si="5"/>
        <v>413.57139590883088</v>
      </c>
      <c r="J7" s="54">
        <v>20</v>
      </c>
      <c r="K7">
        <f t="shared" si="6"/>
        <v>15.545940343475964</v>
      </c>
      <c r="L7" s="54">
        <v>10</v>
      </c>
      <c r="M7">
        <f t="shared" si="7"/>
        <v>0.57313257705991816</v>
      </c>
    </row>
    <row r="8" spans="1:18" x14ac:dyDescent="0.25">
      <c r="A8">
        <v>1.5</v>
      </c>
      <c r="B8" s="53">
        <f t="shared" ref="B8" si="8">10^A8</f>
        <v>31.622776601683803</v>
      </c>
      <c r="C8">
        <f t="shared" si="2"/>
        <v>84.1380813551893</v>
      </c>
      <c r="D8">
        <f t="shared" si="3"/>
        <v>2.7232650573913584</v>
      </c>
      <c r="E8">
        <f t="shared" si="3"/>
        <v>2.2094954631824177</v>
      </c>
      <c r="F8">
        <f t="shared" si="3"/>
        <v>1.3762307887228471</v>
      </c>
      <c r="G8">
        <f t="shared" si="4"/>
        <v>8.2902504652241973</v>
      </c>
      <c r="H8" s="53">
        <f t="shared" si="0"/>
        <v>31.622776601683803</v>
      </c>
      <c r="I8">
        <f t="shared" si="5"/>
        <v>129.84344750705191</v>
      </c>
      <c r="J8" s="54">
        <v>20</v>
      </c>
      <c r="K8">
        <f t="shared" si="6"/>
        <v>15.545940343475964</v>
      </c>
      <c r="L8" s="54">
        <v>31.622776601683803</v>
      </c>
      <c r="M8">
        <f t="shared" si="7"/>
        <v>3.3056484224757989</v>
      </c>
    </row>
    <row r="9" spans="1:18" x14ac:dyDescent="0.25">
      <c r="A9">
        <v>2</v>
      </c>
      <c r="B9" s="53">
        <f t="shared" si="1"/>
        <v>100</v>
      </c>
      <c r="C9">
        <f t="shared" si="2"/>
        <v>12.164065139670578</v>
      </c>
      <c r="D9">
        <f t="shared" si="3"/>
        <v>15.370386212208292</v>
      </c>
      <c r="E9">
        <f t="shared" si="3"/>
        <v>19.81245262159333</v>
      </c>
      <c r="F9">
        <f t="shared" si="3"/>
        <v>9.1555786682923959</v>
      </c>
      <c r="G9">
        <f t="shared" si="4"/>
        <v>25.687880682777337</v>
      </c>
      <c r="H9" s="53">
        <f t="shared" si="0"/>
        <v>100</v>
      </c>
      <c r="I9">
        <f t="shared" si="5"/>
        <v>40.765200464282358</v>
      </c>
      <c r="J9" s="54">
        <v>10</v>
      </c>
      <c r="K9">
        <f t="shared" si="6"/>
        <v>6.75973639022033</v>
      </c>
      <c r="L9" s="54">
        <v>100</v>
      </c>
      <c r="M9">
        <f t="shared" si="7"/>
        <v>19.065940290939558</v>
      </c>
    </row>
    <row r="10" spans="1:18" x14ac:dyDescent="0.25">
      <c r="A10">
        <v>2.5</v>
      </c>
      <c r="B10" s="53">
        <f t="shared" si="1"/>
        <v>316.22776601683825</v>
      </c>
      <c r="C10">
        <f t="shared" si="2"/>
        <v>1.7585910961947875</v>
      </c>
      <c r="D10">
        <f t="shared" si="3"/>
        <v>86.752030130606727</v>
      </c>
      <c r="E10">
        <f t="shared" si="3"/>
        <v>177.65742696638139</v>
      </c>
      <c r="F10">
        <f t="shared" si="3"/>
        <v>60.908839882212597</v>
      </c>
      <c r="G10">
        <f t="shared" si="4"/>
        <v>68.097621701990548</v>
      </c>
      <c r="H10" s="53">
        <f t="shared" si="0"/>
        <v>316.22776601683825</v>
      </c>
      <c r="I10">
        <f t="shared" si="5"/>
        <v>12.798501586326639</v>
      </c>
      <c r="J10" s="54">
        <v>5</v>
      </c>
      <c r="K10">
        <f t="shared" si="6"/>
        <v>2.9392905836310526</v>
      </c>
      <c r="L10" s="54">
        <v>316.22776601683825</v>
      </c>
      <c r="M10">
        <f t="shared" si="7"/>
        <v>109.96634630170956</v>
      </c>
    </row>
    <row r="11" spans="1:18" x14ac:dyDescent="0.25">
      <c r="A11">
        <v>3</v>
      </c>
      <c r="B11" s="53">
        <f t="shared" si="1"/>
        <v>1000</v>
      </c>
      <c r="C11">
        <f t="shared" si="2"/>
        <v>0.25424416986469289</v>
      </c>
      <c r="D11">
        <f t="shared" si="3"/>
        <v>489.63732126678974</v>
      </c>
      <c r="E11">
        <f t="shared" si="3"/>
        <v>1593.0466539975894</v>
      </c>
      <c r="F11">
        <f t="shared" si="3"/>
        <v>405.20505696107193</v>
      </c>
      <c r="G11">
        <f t="shared" si="4"/>
        <v>98.961440565583842</v>
      </c>
      <c r="H11" s="53">
        <f t="shared" si="0"/>
        <v>1000</v>
      </c>
      <c r="I11">
        <f t="shared" si="5"/>
        <v>4.018173368207167</v>
      </c>
      <c r="J11" s="54">
        <v>2</v>
      </c>
      <c r="K11">
        <f t="shared" si="6"/>
        <v>0.97750278529373424</v>
      </c>
      <c r="L11" s="54">
        <v>1000</v>
      </c>
      <c r="M11">
        <f t="shared" si="7"/>
        <v>634.25129494893281</v>
      </c>
    </row>
    <row r="12" spans="1:18" x14ac:dyDescent="0.25">
      <c r="A12">
        <v>3.5</v>
      </c>
      <c r="B12" s="53">
        <f t="shared" si="1"/>
        <v>3162.2776601683804</v>
      </c>
      <c r="C12">
        <f t="shared" si="2"/>
        <v>3.6756752635705908E-2</v>
      </c>
      <c r="D12">
        <f t="shared" si="3"/>
        <v>2763.563066090534</v>
      </c>
      <c r="E12">
        <f t="shared" si="3"/>
        <v>14284.782151512059</v>
      </c>
      <c r="F12">
        <f t="shared" si="3"/>
        <v>2695.6865128993386</v>
      </c>
      <c r="G12">
        <f t="shared" si="4"/>
        <v>99.999987876029095</v>
      </c>
      <c r="H12" s="53">
        <f t="shared" si="0"/>
        <v>3162.2776601683804</v>
      </c>
      <c r="I12">
        <f t="shared" si="5"/>
        <v>1.2615318369940038</v>
      </c>
      <c r="J12" s="54">
        <v>1</v>
      </c>
      <c r="K12">
        <f t="shared" si="6"/>
        <v>0.42504094337817067</v>
      </c>
      <c r="L12" s="54">
        <v>3162.2776601683804</v>
      </c>
      <c r="M12">
        <f t="shared" si="7"/>
        <v>3658.1619620306087</v>
      </c>
    </row>
    <row r="13" spans="1:18" x14ac:dyDescent="0.25">
      <c r="A13">
        <v>4</v>
      </c>
      <c r="B13" s="53">
        <f t="shared" si="1"/>
        <v>10000</v>
      </c>
      <c r="C13">
        <f t="shared" si="2"/>
        <v>5.3140210256994178E-3</v>
      </c>
      <c r="D13">
        <f t="shared" si="3"/>
        <v>15597.832290440072</v>
      </c>
      <c r="E13">
        <f t="shared" si="3"/>
        <v>128091.03901891508</v>
      </c>
      <c r="F13">
        <f t="shared" si="3"/>
        <v>17933.452830835515</v>
      </c>
      <c r="G13">
        <f t="shared" si="4"/>
        <v>100</v>
      </c>
      <c r="H13" s="53">
        <f t="shared" si="0"/>
        <v>10000</v>
      </c>
      <c r="I13">
        <f t="shared" si="5"/>
        <v>0.3960661798073552</v>
      </c>
      <c r="J13" s="54">
        <v>0.5</v>
      </c>
      <c r="K13">
        <f t="shared" si="6"/>
        <v>0.18481768672763221</v>
      </c>
      <c r="L13" s="54">
        <v>10000</v>
      </c>
      <c r="M13">
        <f t="shared" si="7"/>
        <v>21099.127502018135</v>
      </c>
    </row>
    <row r="14" spans="1:18" x14ac:dyDescent="0.25">
      <c r="A14" s="31">
        <f>Sheet4!AS3</f>
        <v>0.12854039507068565</v>
      </c>
      <c r="B14" s="31">
        <f>SUM(D14,C14,C16,C17,G14,A14,C18,G18,D18,K16,K14,I14,I18,E18,D17,M16,M18,M14)</f>
        <v>38.046228970600119</v>
      </c>
      <c r="C14" s="31">
        <f>Sheet2!H95</f>
        <v>6.6030709082746935</v>
      </c>
      <c r="D14" s="31">
        <f>Sheet2!H1</f>
        <v>3.2220608109066604</v>
      </c>
      <c r="E14" s="31"/>
      <c r="F14" s="31"/>
      <c r="G14" s="31">
        <f>Sheet2!H15</f>
        <v>6.0159456016425539</v>
      </c>
      <c r="I14" s="31">
        <f>Sheet2!H81</f>
        <v>0.51424395440576587</v>
      </c>
      <c r="K14" s="31">
        <f>Sheet2!H117</f>
        <v>0.94312746724860197</v>
      </c>
      <c r="M14" s="31">
        <f>Sheet2!H243</f>
        <v>1.5049744602140764</v>
      </c>
    </row>
    <row r="15" spans="1:18" x14ac:dyDescent="0.25">
      <c r="A15">
        <f>10^A14</f>
        <v>1.344436811074702</v>
      </c>
      <c r="B15" s="31" t="s">
        <v>381</v>
      </c>
      <c r="C15" s="31"/>
      <c r="D15" s="31"/>
      <c r="E15" s="31"/>
      <c r="F15" s="31"/>
      <c r="G15" s="31"/>
      <c r="I15" s="31"/>
      <c r="K15" s="31"/>
      <c r="M15" s="31"/>
    </row>
    <row r="16" spans="1:18" x14ac:dyDescent="0.25">
      <c r="B16" t="s">
        <v>1</v>
      </c>
      <c r="C16" s="31">
        <f>SUM(Sheet2!H37,Sheet2!H47)</f>
        <v>3.9539593316286155</v>
      </c>
      <c r="K16" s="31">
        <f>Sheet2!H109</f>
        <v>0.44715999996784533</v>
      </c>
      <c r="M16" s="31">
        <f>Sheet2!$H$159</f>
        <v>0.27806044717405914</v>
      </c>
    </row>
    <row r="17" spans="1:13" x14ac:dyDescent="0.25">
      <c r="B17" t="s">
        <v>375</v>
      </c>
      <c r="C17" s="31">
        <f>Sheet2!H57</f>
        <v>3.4630300174120423</v>
      </c>
      <c r="D17" s="31">
        <f>Sheet2!H229</f>
        <v>0.43750428722183893</v>
      </c>
      <c r="K17" s="31"/>
      <c r="M17" s="31"/>
    </row>
    <row r="18" spans="1:13" x14ac:dyDescent="0.25">
      <c r="B18" t="s">
        <v>362</v>
      </c>
      <c r="C18" s="31">
        <f>Sheet2!H67</f>
        <v>2.3647080552796087</v>
      </c>
      <c r="D18" s="31">
        <f>Sheet2!H201*10</f>
        <v>4.0458587077505559</v>
      </c>
      <c r="E18" s="31">
        <f>Sheet2!H215</f>
        <v>3.515388649506155E-2</v>
      </c>
      <c r="G18" s="31">
        <f>Sheet2!H145</f>
        <v>0.70667534080911198</v>
      </c>
      <c r="I18" s="31">
        <f>Sheet2!H29</f>
        <v>3.167427346655284</v>
      </c>
      <c r="M18" s="31">
        <f>Sheet2!H131</f>
        <v>0.21472795244306511</v>
      </c>
    </row>
    <row r="20" spans="1:13" x14ac:dyDescent="0.25">
      <c r="B20">
        <f>SUM(C20:M23)</f>
        <v>144</v>
      </c>
      <c r="C20">
        <v>19</v>
      </c>
      <c r="D20">
        <v>17</v>
      </c>
      <c r="G20">
        <v>15</v>
      </c>
      <c r="I20">
        <v>4</v>
      </c>
      <c r="K20">
        <v>2</v>
      </c>
      <c r="M20">
        <v>4</v>
      </c>
    </row>
    <row r="21" spans="1:13" x14ac:dyDescent="0.25">
      <c r="C21">
        <f>6+15</f>
        <v>21</v>
      </c>
      <c r="K21">
        <v>2</v>
      </c>
      <c r="M21">
        <v>3</v>
      </c>
    </row>
    <row r="22" spans="1:13" x14ac:dyDescent="0.25">
      <c r="C22">
        <v>18</v>
      </c>
      <c r="D22">
        <v>1</v>
      </c>
    </row>
    <row r="23" spans="1:13" x14ac:dyDescent="0.25">
      <c r="C23">
        <v>5</v>
      </c>
      <c r="D23">
        <v>20</v>
      </c>
      <c r="E23">
        <v>1</v>
      </c>
      <c r="G23">
        <v>2</v>
      </c>
      <c r="I23">
        <v>6</v>
      </c>
      <c r="M23">
        <v>4</v>
      </c>
    </row>
    <row r="24" spans="1:13" x14ac:dyDescent="0.25">
      <c r="A24">
        <f>10^B24</f>
        <v>1.8374262790551681</v>
      </c>
      <c r="B24">
        <f>B14/B20</f>
        <v>0.26420992340694527</v>
      </c>
      <c r="C24">
        <f>10^(1-B24)</f>
        <v>5.4423952209620907</v>
      </c>
      <c r="D24">
        <f>10^(1+B24)</f>
        <v>18.374262790551686</v>
      </c>
    </row>
    <row r="25" spans="1:13" x14ac:dyDescent="0.25">
      <c r="C25">
        <f>(10-C24)/10</f>
        <v>0.45576047790379093</v>
      </c>
      <c r="D25">
        <f>(D24-10)/10</f>
        <v>0.83742627905516864</v>
      </c>
    </row>
    <row r="27" spans="1:13" x14ac:dyDescent="0.25">
      <c r="B27">
        <f>10^C27</f>
        <v>2.2260250528527257</v>
      </c>
      <c r="C27">
        <f>C14/C20</f>
        <v>0.34753004780393121</v>
      </c>
      <c r="D27">
        <f t="shared" ref="D27:M27" si="9">D14/D20</f>
        <v>0.18953298887686237</v>
      </c>
      <c r="G27">
        <f t="shared" si="9"/>
        <v>0.40106304010950361</v>
      </c>
      <c r="I27">
        <f t="shared" si="9"/>
        <v>0.12856098860144147</v>
      </c>
      <c r="K27">
        <f t="shared" si="9"/>
        <v>0.47156373362430098</v>
      </c>
      <c r="M27">
        <f t="shared" si="9"/>
        <v>0.37624361505351911</v>
      </c>
    </row>
    <row r="29" spans="1:13" x14ac:dyDescent="0.25">
      <c r="C29">
        <f>C16/C21</f>
        <v>0.18828377769660073</v>
      </c>
      <c r="K29">
        <f t="shared" ref="D29:M29" si="10">K16/K21</f>
        <v>0.22357999998392267</v>
      </c>
      <c r="M29">
        <f t="shared" si="10"/>
        <v>9.2686815724686386E-2</v>
      </c>
    </row>
    <row r="30" spans="1:13" x14ac:dyDescent="0.25">
      <c r="C30">
        <f t="shared" ref="C30:M31" si="11">C17/C22</f>
        <v>0.19239055652289125</v>
      </c>
      <c r="D30">
        <f t="shared" si="11"/>
        <v>0.43750428722183893</v>
      </c>
    </row>
    <row r="31" spans="1:13" x14ac:dyDescent="0.25">
      <c r="C31">
        <f t="shared" si="11"/>
        <v>0.47294161105592175</v>
      </c>
      <c r="D31">
        <f t="shared" si="11"/>
        <v>0.20229293538752779</v>
      </c>
      <c r="E31">
        <f t="shared" si="11"/>
        <v>3.515388649506155E-2</v>
      </c>
      <c r="G31">
        <f t="shared" si="11"/>
        <v>0.35333767040455599</v>
      </c>
      <c r="I31">
        <f t="shared" si="11"/>
        <v>0.52790455777588063</v>
      </c>
      <c r="M31">
        <f t="shared" si="11"/>
        <v>5.3681988110766278E-2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1912-E408-4C1D-8E3B-FAE5AA474DAC}">
  <dimension ref="A1:C28"/>
  <sheetViews>
    <sheetView showFormulas="1" workbookViewId="0">
      <selection activeCell="C17" sqref="A1:C28"/>
    </sheetView>
  </sheetViews>
  <sheetFormatPr defaultRowHeight="15" x14ac:dyDescent="0.25"/>
  <sheetData>
    <row r="1" spans="1:3" x14ac:dyDescent="0.25">
      <c r="B1" t="s">
        <v>4</v>
      </c>
      <c r="C1">
        <v>100</v>
      </c>
    </row>
    <row r="2" spans="1:3" x14ac:dyDescent="0.25">
      <c r="B2" t="s">
        <v>3</v>
      </c>
      <c r="C2">
        <f>MEDIAN(C9:C25)</f>
        <v>22.653472470323557</v>
      </c>
    </row>
    <row r="3" spans="1:3" x14ac:dyDescent="0.25">
      <c r="C3">
        <f>_xlfn.PERCENTILE.EXC(C9:C25,0.2)</f>
        <v>8.4831669973606552</v>
      </c>
    </row>
    <row r="4" spans="1:3" x14ac:dyDescent="0.25">
      <c r="C4">
        <f>_xlfn.PERCENTILE.EXC(C9:C25,0.8)</f>
        <v>41.975988171129359</v>
      </c>
    </row>
    <row r="5" spans="1:3" x14ac:dyDescent="0.25">
      <c r="A5" t="e">
        <f>INTERCEPT(C6:M6,C5:M5)</f>
        <v>#DIV/0!</v>
      </c>
      <c r="B5" t="s">
        <v>137</v>
      </c>
      <c r="C5">
        <f>LOG10(C1)</f>
        <v>2</v>
      </c>
    </row>
    <row r="6" spans="1:3" x14ac:dyDescent="0.25">
      <c r="A6" t="e">
        <f>SLOPE(C6:M6,C5:M5)</f>
        <v>#DIV/0!</v>
      </c>
      <c r="B6" t="s">
        <v>138</v>
      </c>
      <c r="C6">
        <f>LOG10(C2)</f>
        <v>1.3551347829100198</v>
      </c>
    </row>
    <row r="7" spans="1:3" x14ac:dyDescent="0.25">
      <c r="A7" t="s">
        <v>139</v>
      </c>
      <c r="B7" t="s">
        <v>361</v>
      </c>
      <c r="C7">
        <f>10^(Sheet5!$C$3*LOG10(C$1)+Sheet5!$C$2)</f>
        <v>28.533047680383564</v>
      </c>
    </row>
    <row r="8" spans="1:3" x14ac:dyDescent="0.25">
      <c r="A8">
        <f>SUM(C8:M8)/11</f>
        <v>0.61254738473433623</v>
      </c>
      <c r="B8" t="s">
        <v>360</v>
      </c>
      <c r="C8" cm="1">
        <f t="array" ref="C8">SUM(ABS(IFERROR(LOG10(C9:C29)-LOG10(C7),0)))</f>
        <v>6.7380212320776991</v>
      </c>
    </row>
    <row r="9" spans="1:3" x14ac:dyDescent="0.25">
      <c r="A9" t="s">
        <v>125</v>
      </c>
      <c r="B9" t="s">
        <v>124</v>
      </c>
      <c r="C9">
        <f>17.6*(269/C$1)^0.64</f>
        <v>33.155388948097922</v>
      </c>
    </row>
    <row r="10" spans="1:3" x14ac:dyDescent="0.25">
      <c r="A10" t="s">
        <v>126</v>
      </c>
      <c r="B10" t="s">
        <v>124</v>
      </c>
      <c r="C10">
        <f>10^(3.04758 - 1.06166*LOG10(C$1))</f>
        <v>8.3996269827743308</v>
      </c>
    </row>
    <row r="11" spans="1:3" x14ac:dyDescent="0.25">
      <c r="A11" t="s">
        <v>127</v>
      </c>
      <c r="B11" t="s">
        <v>124</v>
      </c>
      <c r="C11">
        <f>48.32-14.061*LOG10(C$1)</f>
        <v>20.198</v>
      </c>
    </row>
    <row r="12" spans="1:3" x14ac:dyDescent="0.25">
      <c r="A12" t="s">
        <v>128</v>
      </c>
      <c r="B12" t="s">
        <v>124</v>
      </c>
      <c r="C12">
        <f>2224*C$1^-0.996</f>
        <v>22.653472470323557</v>
      </c>
    </row>
    <row r="13" spans="1:3" x14ac:dyDescent="0.25">
      <c r="A13" t="s">
        <v>129</v>
      </c>
      <c r="B13" t="s">
        <v>124</v>
      </c>
      <c r="C13">
        <f>338*C$1^-0.39</f>
        <v>56.094037471389527</v>
      </c>
    </row>
    <row r="14" spans="1:3" x14ac:dyDescent="0.25">
      <c r="A14" t="s">
        <v>399</v>
      </c>
      <c r="B14" t="s">
        <v>124</v>
      </c>
      <c r="C14">
        <f>357.87*C$1^-0.6445</f>
        <v>18.396080159180276</v>
      </c>
    </row>
    <row r="15" spans="1:3" x14ac:dyDescent="0.25">
      <c r="A15" t="s">
        <v>130</v>
      </c>
      <c r="B15" t="s">
        <v>124</v>
      </c>
      <c r="C15">
        <f>IF(C$1&gt;1.66,(39.36/C$1^1.15)^3-(108/C$1^1.15)^2+(1957/C$1^1.15),11689*C$1^-0.741)</f>
        <v>9.5229242643316283</v>
      </c>
    </row>
    <row r="16" spans="1:3" x14ac:dyDescent="0.25">
      <c r="A16" t="s">
        <v>132</v>
      </c>
      <c r="B16" t="s">
        <v>124</v>
      </c>
      <c r="C16">
        <f>537.76*C$1^-0.6645</f>
        <v>25.21090843824377</v>
      </c>
    </row>
    <row r="17" spans="1:3" x14ac:dyDescent="0.25">
      <c r="A17" t="s">
        <v>191</v>
      </c>
      <c r="B17" t="s">
        <v>124</v>
      </c>
      <c r="C17">
        <f>EXP(2.35+5.21/LN(C$1))</f>
        <v>32.503153823738856</v>
      </c>
    </row>
    <row r="18" spans="1:3" x14ac:dyDescent="0.25">
      <c r="A18" t="s">
        <v>219</v>
      </c>
      <c r="B18" t="s">
        <v>124</v>
      </c>
      <c r="C18">
        <f>162.48*C$1^-0.6397</f>
        <v>8.5388603404182035</v>
      </c>
    </row>
    <row r="19" spans="1:3" x14ac:dyDescent="0.25">
      <c r="A19" t="s">
        <v>222</v>
      </c>
      <c r="B19" t="s">
        <v>124</v>
      </c>
      <c r="C19">
        <f>10^(LOG10(532.1)-0.492*LOG10(C$1))</f>
        <v>55.206887005676499</v>
      </c>
    </row>
    <row r="20" spans="1:3" x14ac:dyDescent="0.25">
      <c r="B20" t="s">
        <v>124</v>
      </c>
      <c r="C20">
        <f>10^(LOG10(235.3)-0.475*LOG10(C$1))</f>
        <v>26.401094229725221</v>
      </c>
    </row>
    <row r="21" spans="1:3" x14ac:dyDescent="0.25">
      <c r="A21" t="s">
        <v>223</v>
      </c>
      <c r="B21" t="s">
        <v>124</v>
      </c>
      <c r="C21">
        <f>10^(2.553-0.6438*LOG10(C$1))</f>
        <v>18.42468196143636</v>
      </c>
    </row>
    <row r="22" spans="1:3" x14ac:dyDescent="0.25">
      <c r="A22" t="s">
        <v>243</v>
      </c>
      <c r="B22" t="s">
        <v>124</v>
      </c>
      <c r="C22">
        <f>16.28+928.24/C$1</f>
        <v>25.562400000000004</v>
      </c>
    </row>
    <row r="23" spans="1:3" x14ac:dyDescent="0.25">
      <c r="A23" t="s">
        <v>395</v>
      </c>
      <c r="B23" t="s">
        <v>124</v>
      </c>
      <c r="C23">
        <f>2.35+5.21/LN(C$1)</f>
        <v>3.481337125357971</v>
      </c>
    </row>
    <row r="24" spans="1:3" x14ac:dyDescent="0.25">
      <c r="A24" t="s">
        <v>393</v>
      </c>
      <c r="B24" t="s">
        <v>124</v>
      </c>
      <c r="C24">
        <f>10^(LOG10(415.4)-0.25*LOG10(C$1))</f>
        <v>131.36101400339459</v>
      </c>
    </row>
    <row r="25" spans="1:3" x14ac:dyDescent="0.25">
      <c r="A25" t="s">
        <v>394</v>
      </c>
      <c r="B25" t="s">
        <v>124</v>
      </c>
      <c r="C25">
        <f>10^(LOG10(151.8)-1.096*LOG10(C$1))</f>
        <v>0.97559995488723494</v>
      </c>
    </row>
    <row r="26" spans="1:3" x14ac:dyDescent="0.25">
      <c r="A26" t="s">
        <v>398</v>
      </c>
      <c r="B26" t="s">
        <v>124</v>
      </c>
      <c r="C26">
        <f>155.52*(C$1)^-0.6193</f>
        <v>8.9781374018893416</v>
      </c>
    </row>
    <row r="27" spans="1:3" x14ac:dyDescent="0.25">
      <c r="A27" t="s">
        <v>404</v>
      </c>
      <c r="C27">
        <f>10^(LOG10(348.3)-0.64*LOG10(C$1))</f>
        <v>18.279043840499579</v>
      </c>
    </row>
    <row r="28" spans="1:3" x14ac:dyDescent="0.25">
      <c r="A28" t="s">
        <v>371</v>
      </c>
      <c r="B2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Sheet2</vt:lpstr>
      <vt:lpstr>Sheet3</vt:lpstr>
      <vt:lpstr>Sheet6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Lea</dc:creator>
  <cp:lastModifiedBy>Jeremy Lea</cp:lastModifiedBy>
  <dcterms:created xsi:type="dcterms:W3CDTF">2019-10-16T04:40:29Z</dcterms:created>
  <dcterms:modified xsi:type="dcterms:W3CDTF">2022-06-04T01:05:25Z</dcterms:modified>
</cp:coreProperties>
</file>