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8625" yWindow="-15" windowWidth="8670" windowHeight="7545" tabRatio="845" activeTab="11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Whitefield" sheetId="76" r:id="rId53"/>
    <sheet name="Beat 61" sheetId="77" r:id="rId54"/>
    <sheet name="Beat 62" sheetId="78" r:id="rId55"/>
    <sheet name="2016 Data" sheetId="66" state="hidden" r:id="rId56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J29" i="77" l="1"/>
  <c r="J28" i="77"/>
  <c r="J27" i="77"/>
  <c r="J26" i="77"/>
  <c r="J25" i="77"/>
  <c r="J24" i="77"/>
  <c r="J23" i="77"/>
  <c r="J22" i="77"/>
  <c r="J21" i="77"/>
  <c r="J18" i="77"/>
  <c r="V22" i="24" l="1"/>
  <c r="AC22" i="24" s="1"/>
  <c r="V21" i="24"/>
  <c r="V20" i="24"/>
  <c r="AC20" i="24" s="1"/>
  <c r="I14" i="24"/>
  <c r="I13" i="24"/>
  <c r="I12" i="24"/>
  <c r="I6" i="24"/>
  <c r="I5" i="24"/>
  <c r="I4" i="24"/>
  <c r="S14" i="24"/>
  <c r="S13" i="24"/>
  <c r="S12" i="24"/>
  <c r="S6" i="24"/>
  <c r="S5" i="24"/>
  <c r="S4" i="24"/>
  <c r="AC14" i="24"/>
  <c r="AC13" i="24"/>
  <c r="AC12" i="24"/>
  <c r="V14" i="24"/>
  <c r="V13" i="24"/>
  <c r="V12" i="24"/>
  <c r="AC6" i="24"/>
  <c r="AC4" i="24"/>
  <c r="V6" i="24"/>
  <c r="V5" i="24"/>
  <c r="V4" i="24"/>
  <c r="H29" i="8" l="1"/>
  <c r="H28" i="8"/>
  <c r="H27" i="8"/>
  <c r="H26" i="8"/>
  <c r="H25" i="8"/>
  <c r="H24" i="8"/>
  <c r="H23" i="8"/>
  <c r="H22" i="8"/>
  <c r="H21" i="8"/>
  <c r="H18" i="8"/>
  <c r="H17" i="8"/>
  <c r="H16" i="8"/>
  <c r="H15" i="8"/>
  <c r="H14" i="8"/>
  <c r="H13" i="8"/>
  <c r="H12" i="8"/>
  <c r="H11" i="8"/>
  <c r="E29" i="8"/>
  <c r="E28" i="8"/>
  <c r="E27" i="8"/>
  <c r="E26" i="8"/>
  <c r="E25" i="8"/>
  <c r="E24" i="8"/>
  <c r="E23" i="8"/>
  <c r="E22" i="8"/>
  <c r="E21" i="8"/>
  <c r="E18" i="8"/>
  <c r="E17" i="8"/>
  <c r="E16" i="8"/>
  <c r="E15" i="8"/>
  <c r="E14" i="8"/>
  <c r="E13" i="8"/>
  <c r="E12" i="8"/>
  <c r="E11" i="8"/>
  <c r="C13" i="8"/>
  <c r="G46" i="76"/>
  <c r="G45" i="76"/>
  <c r="K43" i="76"/>
  <c r="K42" i="76"/>
  <c r="K41" i="76"/>
  <c r="J43" i="76"/>
  <c r="J42" i="76"/>
  <c r="J41" i="76"/>
  <c r="I43" i="76"/>
  <c r="I42" i="76"/>
  <c r="I41" i="76"/>
  <c r="G43" i="76"/>
  <c r="G42" i="76"/>
  <c r="G41" i="76"/>
  <c r="F43" i="76"/>
  <c r="F42" i="76"/>
  <c r="F41" i="76"/>
  <c r="Q30" i="24"/>
  <c r="G30" i="24" s="1"/>
  <c r="Q29" i="24"/>
  <c r="Q31" i="24" s="1"/>
  <c r="Q28" i="24"/>
  <c r="G28" i="24" s="1"/>
  <c r="O39" i="24"/>
  <c r="P40" i="24"/>
  <c r="P39" i="24"/>
  <c r="P38" i="24"/>
  <c r="O38" i="24"/>
  <c r="O40" i="24"/>
  <c r="R38" i="24"/>
  <c r="Q41" i="24"/>
  <c r="R40" i="24"/>
  <c r="R39" i="24"/>
  <c r="G29" i="24" l="1"/>
  <c r="G31" i="24" s="1"/>
  <c r="K45" i="76"/>
  <c r="J45" i="76"/>
  <c r="I45" i="76"/>
  <c r="H46" i="76"/>
  <c r="H45" i="76"/>
  <c r="H43" i="76"/>
  <c r="H42" i="76"/>
  <c r="H41" i="76"/>
  <c r="E43" i="76"/>
  <c r="E42" i="76"/>
  <c r="E41" i="76"/>
  <c r="D45" i="76"/>
  <c r="C45" i="76"/>
  <c r="D43" i="76"/>
  <c r="D42" i="76"/>
  <c r="D41" i="76"/>
  <c r="C43" i="76"/>
  <c r="C42" i="76"/>
  <c r="C41" i="76"/>
  <c r="K28" i="76" l="1"/>
  <c r="K27" i="76"/>
  <c r="K24" i="76"/>
  <c r="K23" i="76"/>
  <c r="K18" i="76"/>
  <c r="K17" i="76"/>
  <c r="K14" i="76"/>
  <c r="K13" i="76"/>
  <c r="J15" i="76"/>
  <c r="J13" i="76"/>
  <c r="F13" i="76"/>
  <c r="G29" i="76"/>
  <c r="G28" i="76"/>
  <c r="G27" i="76"/>
  <c r="G26" i="76"/>
  <c r="G25" i="76"/>
  <c r="G24" i="76"/>
  <c r="G23" i="76"/>
  <c r="G22" i="76"/>
  <c r="G21" i="76"/>
  <c r="G18" i="76"/>
  <c r="G17" i="76"/>
  <c r="G16" i="76"/>
  <c r="G15" i="76"/>
  <c r="G14" i="76"/>
  <c r="G13" i="76"/>
  <c r="G12" i="76"/>
  <c r="G11" i="76"/>
  <c r="H29" i="76"/>
  <c r="H28" i="76"/>
  <c r="H27" i="76"/>
  <c r="H26" i="76"/>
  <c r="H25" i="76"/>
  <c r="H24" i="76"/>
  <c r="H23" i="76"/>
  <c r="H22" i="76"/>
  <c r="H21" i="76"/>
  <c r="H18" i="76"/>
  <c r="E18" i="76" s="1"/>
  <c r="H17" i="76"/>
  <c r="H16" i="76"/>
  <c r="H15" i="76"/>
  <c r="H14" i="76"/>
  <c r="E14" i="76" s="1"/>
  <c r="H13" i="76"/>
  <c r="H12" i="76"/>
  <c r="H11" i="76"/>
  <c r="E11" i="76" s="1"/>
  <c r="D29" i="76"/>
  <c r="D28" i="76"/>
  <c r="D25" i="76"/>
  <c r="D24" i="76"/>
  <c r="D21" i="76"/>
  <c r="D13" i="76"/>
  <c r="D11" i="76"/>
  <c r="C26" i="76"/>
  <c r="C22" i="76"/>
  <c r="C13" i="76"/>
  <c r="C12" i="76"/>
  <c r="E12" i="76"/>
  <c r="E13" i="76"/>
  <c r="E15" i="76"/>
  <c r="E16" i="76"/>
  <c r="E17" i="76"/>
  <c r="K42" i="78"/>
  <c r="K41" i="78"/>
  <c r="J42" i="78"/>
  <c r="J41" i="78"/>
  <c r="I42" i="78"/>
  <c r="I41" i="78"/>
  <c r="F42" i="78"/>
  <c r="F41" i="78"/>
  <c r="E42" i="78"/>
  <c r="E41" i="78"/>
  <c r="D42" i="78"/>
  <c r="D41" i="78"/>
  <c r="C42" i="78"/>
  <c r="C41" i="78"/>
  <c r="K29" i="78"/>
  <c r="K28" i="78"/>
  <c r="K27" i="78"/>
  <c r="K26" i="78"/>
  <c r="K25" i="78"/>
  <c r="K24" i="78"/>
  <c r="K23" i="78"/>
  <c r="K22" i="78"/>
  <c r="K21" i="78"/>
  <c r="K18" i="78"/>
  <c r="K17" i="78"/>
  <c r="K16" i="78"/>
  <c r="K15" i="78"/>
  <c r="K14" i="78"/>
  <c r="K13" i="78"/>
  <c r="K12" i="78"/>
  <c r="K11" i="78"/>
  <c r="J29" i="78"/>
  <c r="J28" i="78"/>
  <c r="J27" i="78"/>
  <c r="J26" i="78"/>
  <c r="J25" i="78"/>
  <c r="J24" i="78"/>
  <c r="J23" i="78"/>
  <c r="J22" i="78"/>
  <c r="J21" i="78"/>
  <c r="J18" i="78"/>
  <c r="J17" i="78"/>
  <c r="J16" i="78"/>
  <c r="J15" i="78"/>
  <c r="J14" i="78"/>
  <c r="J13" i="78"/>
  <c r="J12" i="78"/>
  <c r="J11" i="78"/>
  <c r="H42" i="78"/>
  <c r="H41" i="78"/>
  <c r="I29" i="78"/>
  <c r="I28" i="78"/>
  <c r="I27" i="78"/>
  <c r="I26" i="78"/>
  <c r="I25" i="78"/>
  <c r="I24" i="78"/>
  <c r="I23" i="78"/>
  <c r="I22" i="78"/>
  <c r="I21" i="78"/>
  <c r="I18" i="78"/>
  <c r="I17" i="78"/>
  <c r="I16" i="78"/>
  <c r="I15" i="78"/>
  <c r="I14" i="78"/>
  <c r="I13" i="78"/>
  <c r="I13" i="76" s="1"/>
  <c r="I12" i="78"/>
  <c r="I11" i="78"/>
  <c r="H29" i="78"/>
  <c r="H28" i="78"/>
  <c r="H27" i="78"/>
  <c r="H26" i="78"/>
  <c r="H25" i="78"/>
  <c r="H24" i="78"/>
  <c r="H23" i="78"/>
  <c r="H22" i="78"/>
  <c r="H21" i="78"/>
  <c r="H18" i="78"/>
  <c r="H17" i="78"/>
  <c r="H16" i="78"/>
  <c r="H15" i="78"/>
  <c r="H14" i="78"/>
  <c r="H12" i="78"/>
  <c r="H11" i="78"/>
  <c r="F29" i="78"/>
  <c r="F28" i="78"/>
  <c r="F27" i="78"/>
  <c r="F26" i="78"/>
  <c r="F25" i="78"/>
  <c r="F24" i="78"/>
  <c r="F23" i="78"/>
  <c r="F22" i="78"/>
  <c r="F21" i="78"/>
  <c r="F18" i="78"/>
  <c r="F17" i="78"/>
  <c r="F16" i="78"/>
  <c r="F15" i="78"/>
  <c r="F14" i="78"/>
  <c r="F13" i="78"/>
  <c r="F12" i="78"/>
  <c r="F11" i="78"/>
  <c r="E29" i="78"/>
  <c r="E28" i="78"/>
  <c r="E27" i="78"/>
  <c r="E26" i="78"/>
  <c r="E25" i="78"/>
  <c r="E24" i="78"/>
  <c r="E23" i="78"/>
  <c r="E22" i="78"/>
  <c r="E21" i="78"/>
  <c r="E18" i="78"/>
  <c r="E17" i="78"/>
  <c r="E16" i="78"/>
  <c r="E15" i="78"/>
  <c r="E14" i="78"/>
  <c r="E13" i="78"/>
  <c r="E12" i="78"/>
  <c r="E11" i="78"/>
  <c r="D29" i="78"/>
  <c r="D28" i="78"/>
  <c r="D27" i="78"/>
  <c r="D26" i="78"/>
  <c r="D25" i="78"/>
  <c r="D24" i="78"/>
  <c r="D23" i="78"/>
  <c r="D22" i="78"/>
  <c r="D21" i="78"/>
  <c r="D18" i="78"/>
  <c r="D17" i="78"/>
  <c r="D16" i="78"/>
  <c r="D15" i="78"/>
  <c r="D14" i="78"/>
  <c r="D13" i="78"/>
  <c r="D12" i="78"/>
  <c r="D11" i="78"/>
  <c r="C29" i="78"/>
  <c r="C28" i="78"/>
  <c r="C27" i="78"/>
  <c r="C26" i="78"/>
  <c r="C25" i="78"/>
  <c r="C24" i="78"/>
  <c r="C23" i="78"/>
  <c r="C22" i="78"/>
  <c r="C21" i="78"/>
  <c r="C18" i="78"/>
  <c r="C17" i="78"/>
  <c r="C16" i="78"/>
  <c r="C15" i="78"/>
  <c r="C14" i="78"/>
  <c r="C13" i="78"/>
  <c r="C12" i="78"/>
  <c r="C11" i="78"/>
  <c r="K42" i="77"/>
  <c r="K41" i="77"/>
  <c r="J42" i="77"/>
  <c r="J41" i="77"/>
  <c r="I42" i="77"/>
  <c r="I41" i="77"/>
  <c r="H41" i="77"/>
  <c r="F42" i="77"/>
  <c r="C46" i="76" s="1"/>
  <c r="E42" i="77"/>
  <c r="D46" i="76" s="1"/>
  <c r="D42" i="77"/>
  <c r="C42" i="77"/>
  <c r="F41" i="77"/>
  <c r="E41" i="77"/>
  <c r="D41" i="77"/>
  <c r="C41" i="77"/>
  <c r="K29" i="77"/>
  <c r="K29" i="76" s="1"/>
  <c r="K28" i="77"/>
  <c r="K27" i="77"/>
  <c r="K26" i="77"/>
  <c r="K26" i="76" s="1"/>
  <c r="K25" i="77"/>
  <c r="K25" i="76" s="1"/>
  <c r="K24" i="77"/>
  <c r="K23" i="77"/>
  <c r="K22" i="77"/>
  <c r="K22" i="76" s="1"/>
  <c r="K21" i="77"/>
  <c r="K21" i="76" s="1"/>
  <c r="K18" i="77"/>
  <c r="K17" i="77"/>
  <c r="K16" i="77"/>
  <c r="K16" i="76" s="1"/>
  <c r="K15" i="77"/>
  <c r="K15" i="76" s="1"/>
  <c r="K14" i="77"/>
  <c r="K12" i="77"/>
  <c r="K12" i="76" s="1"/>
  <c r="K11" i="77"/>
  <c r="K11" i="76" s="1"/>
  <c r="K13" i="77"/>
  <c r="J13" i="77"/>
  <c r="J17" i="77"/>
  <c r="J17" i="76" s="1"/>
  <c r="J16" i="77"/>
  <c r="J16" i="76" s="1"/>
  <c r="J15" i="77"/>
  <c r="J14" i="77"/>
  <c r="J14" i="76" s="1"/>
  <c r="J12" i="77"/>
  <c r="J12" i="76" s="1"/>
  <c r="J11" i="77"/>
  <c r="J11" i="76" s="1"/>
  <c r="I29" i="77"/>
  <c r="I29" i="76" s="1"/>
  <c r="I28" i="77"/>
  <c r="I28" i="76" s="1"/>
  <c r="I27" i="77"/>
  <c r="I27" i="76" s="1"/>
  <c r="I26" i="77"/>
  <c r="I26" i="76" s="1"/>
  <c r="I25" i="77"/>
  <c r="I25" i="76" s="1"/>
  <c r="I24" i="77"/>
  <c r="I24" i="76" s="1"/>
  <c r="I23" i="77"/>
  <c r="I23" i="76" s="1"/>
  <c r="I22" i="77"/>
  <c r="I22" i="76" s="1"/>
  <c r="I21" i="77"/>
  <c r="I21" i="76" s="1"/>
  <c r="I18" i="77"/>
  <c r="I18" i="76" s="1"/>
  <c r="I17" i="77"/>
  <c r="I17" i="76" s="1"/>
  <c r="I16" i="77"/>
  <c r="I16" i="76" s="1"/>
  <c r="I15" i="77"/>
  <c r="I15" i="76" s="1"/>
  <c r="I14" i="77"/>
  <c r="I14" i="76" s="1"/>
  <c r="I13" i="77"/>
  <c r="I12" i="77"/>
  <c r="I12" i="76" s="1"/>
  <c r="I11" i="77"/>
  <c r="I11" i="76" s="1"/>
  <c r="H29" i="77"/>
  <c r="H28" i="77"/>
  <c r="H27" i="77"/>
  <c r="H26" i="77"/>
  <c r="H25" i="77"/>
  <c r="H24" i="77"/>
  <c r="H23" i="77"/>
  <c r="H22" i="77"/>
  <c r="H21" i="77"/>
  <c r="H18" i="77"/>
  <c r="H17" i="77"/>
  <c r="H16" i="77"/>
  <c r="H15" i="77"/>
  <c r="H14" i="77"/>
  <c r="H12" i="77"/>
  <c r="H11" i="77"/>
  <c r="S69" i="66"/>
  <c r="R69" i="66"/>
  <c r="Q69" i="66"/>
  <c r="P69" i="66"/>
  <c r="O69" i="66"/>
  <c r="N69" i="66"/>
  <c r="M69" i="66"/>
  <c r="L69" i="66"/>
  <c r="K69" i="66"/>
  <c r="J69" i="66"/>
  <c r="I69" i="66"/>
  <c r="H69" i="66"/>
  <c r="G69" i="66"/>
  <c r="F69" i="66"/>
  <c r="E69" i="66"/>
  <c r="D69" i="66"/>
  <c r="C69" i="66"/>
  <c r="B69" i="66"/>
  <c r="S68" i="66"/>
  <c r="H42" i="77" s="1"/>
  <c r="R68" i="66"/>
  <c r="Q68" i="66"/>
  <c r="P68" i="66"/>
  <c r="O68" i="66"/>
  <c r="N68" i="66"/>
  <c r="M68" i="66"/>
  <c r="L68" i="66"/>
  <c r="K68" i="66"/>
  <c r="J68" i="66"/>
  <c r="I68" i="66"/>
  <c r="H68" i="66"/>
  <c r="G68" i="66"/>
  <c r="F68" i="66"/>
  <c r="E68" i="66"/>
  <c r="D68" i="66"/>
  <c r="C68" i="66"/>
  <c r="B68" i="66"/>
  <c r="F13" i="77"/>
  <c r="E13" i="77"/>
  <c r="D13" i="77"/>
  <c r="C13" i="77"/>
  <c r="F29" i="77"/>
  <c r="C29" i="76" s="1"/>
  <c r="F28" i="77"/>
  <c r="C28" i="76" s="1"/>
  <c r="F27" i="77"/>
  <c r="C27" i="76" s="1"/>
  <c r="F26" i="77"/>
  <c r="F25" i="77"/>
  <c r="C25" i="76" s="1"/>
  <c r="F24" i="77"/>
  <c r="C24" i="76" s="1"/>
  <c r="F23" i="77"/>
  <c r="C23" i="76" s="1"/>
  <c r="F22" i="77"/>
  <c r="F21" i="77"/>
  <c r="C21" i="76" s="1"/>
  <c r="E29" i="77"/>
  <c r="E28" i="77"/>
  <c r="E27" i="77"/>
  <c r="D27" i="76" s="1"/>
  <c r="E26" i="77"/>
  <c r="D26" i="76" s="1"/>
  <c r="E25" i="77"/>
  <c r="E24" i="77"/>
  <c r="E23" i="77"/>
  <c r="D23" i="76" s="1"/>
  <c r="E22" i="77"/>
  <c r="D22" i="76" s="1"/>
  <c r="E21" i="77"/>
  <c r="D29" i="77"/>
  <c r="D28" i="77"/>
  <c r="D27" i="77"/>
  <c r="D26" i="77"/>
  <c r="D25" i="77"/>
  <c r="D24" i="77"/>
  <c r="D23" i="77"/>
  <c r="D22" i="77"/>
  <c r="D21" i="77"/>
  <c r="C29" i="77"/>
  <c r="C28" i="77"/>
  <c r="C27" i="77"/>
  <c r="C26" i="77"/>
  <c r="C25" i="77"/>
  <c r="C24" i="77"/>
  <c r="C23" i="77"/>
  <c r="C22" i="77"/>
  <c r="C21" i="77"/>
  <c r="F18" i="77"/>
  <c r="C18" i="76" s="1"/>
  <c r="F17" i="77"/>
  <c r="C17" i="76" s="1"/>
  <c r="F16" i="77"/>
  <c r="C16" i="76" s="1"/>
  <c r="F15" i="77"/>
  <c r="C15" i="76" s="1"/>
  <c r="F14" i="77"/>
  <c r="C14" i="76" s="1"/>
  <c r="F12" i="77"/>
  <c r="F11" i="77"/>
  <c r="C11" i="76" s="1"/>
  <c r="E18" i="77"/>
  <c r="D18" i="76" s="1"/>
  <c r="E17" i="77"/>
  <c r="D17" i="76" s="1"/>
  <c r="E16" i="77"/>
  <c r="D16" i="76" s="1"/>
  <c r="E15" i="77"/>
  <c r="D15" i="76" s="1"/>
  <c r="E14" i="77"/>
  <c r="D14" i="76" s="1"/>
  <c r="E12" i="77"/>
  <c r="D12" i="76" s="1"/>
  <c r="E11" i="77"/>
  <c r="D18" i="77"/>
  <c r="D17" i="77"/>
  <c r="D16" i="77"/>
  <c r="D15" i="77"/>
  <c r="D14" i="77"/>
  <c r="D12" i="77"/>
  <c r="D11" i="77"/>
  <c r="C18" i="77"/>
  <c r="C17" i="77"/>
  <c r="C16" i="77"/>
  <c r="C15" i="77"/>
  <c r="C14" i="77"/>
  <c r="C12" i="77"/>
  <c r="C11" i="77"/>
  <c r="I46" i="76" l="1"/>
  <c r="J46" i="76"/>
  <c r="K46" i="76"/>
  <c r="AA23" i="24"/>
  <c r="AA15" i="24"/>
  <c r="AA7" i="24"/>
  <c r="Q15" i="24"/>
  <c r="Q7" i="24"/>
  <c r="G15" i="24"/>
  <c r="G7" i="24"/>
  <c r="AC21" i="24"/>
  <c r="L42" i="78"/>
  <c r="L29" i="78"/>
  <c r="M29" i="78"/>
  <c r="L28" i="78"/>
  <c r="M28" i="78"/>
  <c r="M27" i="78"/>
  <c r="M25" i="78"/>
  <c r="G25" i="78"/>
  <c r="M24" i="78"/>
  <c r="G24" i="78"/>
  <c r="M23" i="78"/>
  <c r="G23" i="78"/>
  <c r="F30" i="78"/>
  <c r="G22" i="78"/>
  <c r="K30" i="78"/>
  <c r="M21" i="78"/>
  <c r="D30" i="78"/>
  <c r="M18" i="78"/>
  <c r="L16" i="78"/>
  <c r="M16" i="78"/>
  <c r="L15" i="78"/>
  <c r="M15" i="78"/>
  <c r="M14" i="78"/>
  <c r="L13" i="78"/>
  <c r="M12" i="78"/>
  <c r="J19" i="78"/>
  <c r="M11" i="78"/>
  <c r="M42" i="77"/>
  <c r="J29" i="76"/>
  <c r="J28" i="76"/>
  <c r="M28" i="77"/>
  <c r="J27" i="76"/>
  <c r="M27" i="77"/>
  <c r="J26" i="76"/>
  <c r="M26" i="77"/>
  <c r="J25" i="76"/>
  <c r="J24" i="76"/>
  <c r="M24" i="77"/>
  <c r="G24" i="77"/>
  <c r="F24" i="76" s="1"/>
  <c r="J23" i="76"/>
  <c r="M23" i="77"/>
  <c r="G23" i="77"/>
  <c r="M22" i="77"/>
  <c r="G22" i="77"/>
  <c r="J21" i="76"/>
  <c r="J18" i="76"/>
  <c r="L16" i="77"/>
  <c r="L12" i="77"/>
  <c r="M12" i="77"/>
  <c r="M11" i="77"/>
  <c r="F19" i="77"/>
  <c r="E19" i="77"/>
  <c r="X30" i="76"/>
  <c r="W30" i="76"/>
  <c r="V30" i="76"/>
  <c r="X29" i="76"/>
  <c r="W29" i="76"/>
  <c r="V29" i="76"/>
  <c r="R29" i="76"/>
  <c r="Q29" i="76"/>
  <c r="P29" i="76"/>
  <c r="R28" i="76"/>
  <c r="Q28" i="76"/>
  <c r="P28" i="76"/>
  <c r="R27" i="76"/>
  <c r="Q27" i="76"/>
  <c r="P27" i="76"/>
  <c r="R26" i="76"/>
  <c r="Q26" i="76"/>
  <c r="P26" i="76"/>
  <c r="R25" i="76"/>
  <c r="Q25" i="76"/>
  <c r="P25" i="76"/>
  <c r="R24" i="76"/>
  <c r="Q24" i="76"/>
  <c r="P24" i="76"/>
  <c r="R23" i="76"/>
  <c r="Q23" i="76"/>
  <c r="P23" i="76"/>
  <c r="R22" i="76"/>
  <c r="Q22" i="76"/>
  <c r="P22" i="76"/>
  <c r="R21" i="76"/>
  <c r="Q21" i="76"/>
  <c r="P21" i="76"/>
  <c r="R18" i="76"/>
  <c r="Q18" i="76"/>
  <c r="P18" i="76"/>
  <c r="R17" i="76"/>
  <c r="Q17" i="76"/>
  <c r="P17" i="76"/>
  <c r="R16" i="76"/>
  <c r="Q16" i="76"/>
  <c r="P16" i="76"/>
  <c r="R15" i="76"/>
  <c r="Q15" i="76"/>
  <c r="P15" i="76"/>
  <c r="R14" i="76"/>
  <c r="Q14" i="76"/>
  <c r="P14" i="76"/>
  <c r="R12" i="76"/>
  <c r="Q12" i="76"/>
  <c r="P12" i="76"/>
  <c r="R11" i="76"/>
  <c r="Q11" i="76"/>
  <c r="P11" i="76"/>
  <c r="F23" i="76" l="1"/>
  <c r="F22" i="76"/>
  <c r="L24" i="77"/>
  <c r="L22" i="77"/>
  <c r="J22" i="76"/>
  <c r="G30" i="76"/>
  <c r="L25" i="77"/>
  <c r="L29" i="77"/>
  <c r="L17" i="78"/>
  <c r="L22" i="78"/>
  <c r="L26" i="78"/>
  <c r="J30" i="78"/>
  <c r="J31" i="78" s="1"/>
  <c r="K30" i="77"/>
  <c r="M14" i="77"/>
  <c r="M15" i="77"/>
  <c r="M17" i="77"/>
  <c r="M18" i="77"/>
  <c r="L15" i="77"/>
  <c r="L17" i="77"/>
  <c r="L21" i="78"/>
  <c r="L24" i="78"/>
  <c r="L12" i="78"/>
  <c r="L25" i="78"/>
  <c r="I30" i="77"/>
  <c r="L28" i="77"/>
  <c r="D30" i="77"/>
  <c r="D19" i="77"/>
  <c r="D19" i="78"/>
  <c r="D31" i="78" s="1"/>
  <c r="C19" i="78"/>
  <c r="E30" i="78"/>
  <c r="E30" i="77"/>
  <c r="E31" i="77" s="1"/>
  <c r="G29" i="77"/>
  <c r="G11" i="78"/>
  <c r="G17" i="78"/>
  <c r="G18" i="78"/>
  <c r="G21" i="78"/>
  <c r="E19" i="78"/>
  <c r="G41" i="77"/>
  <c r="G42" i="77"/>
  <c r="G41" i="78"/>
  <c r="G42" i="78"/>
  <c r="F30" i="77"/>
  <c r="F31" i="77" s="1"/>
  <c r="G14" i="77"/>
  <c r="G21" i="77"/>
  <c r="F21" i="76" s="1"/>
  <c r="G15" i="77"/>
  <c r="G16" i="77"/>
  <c r="F16" i="76" s="1"/>
  <c r="G17" i="77"/>
  <c r="F17" i="76" s="1"/>
  <c r="G18" i="77"/>
  <c r="G12" i="77"/>
  <c r="G25" i="77"/>
  <c r="F25" i="76" s="1"/>
  <c r="G26" i="77"/>
  <c r="F26" i="76" s="1"/>
  <c r="G27" i="77"/>
  <c r="G28" i="77"/>
  <c r="F19" i="78"/>
  <c r="F31" i="78" s="1"/>
  <c r="G14" i="78"/>
  <c r="G15" i="78"/>
  <c r="G16" i="78"/>
  <c r="G26" i="78"/>
  <c r="G27" i="78"/>
  <c r="G28" i="78"/>
  <c r="G29" i="78"/>
  <c r="D44" i="76"/>
  <c r="L41" i="76"/>
  <c r="F44" i="76"/>
  <c r="J44" i="76"/>
  <c r="C44" i="76"/>
  <c r="G44" i="76"/>
  <c r="L42" i="76"/>
  <c r="C19" i="77"/>
  <c r="G13" i="78"/>
  <c r="G19" i="76"/>
  <c r="J19" i="77"/>
  <c r="K19" i="77"/>
  <c r="K31" i="77" s="1"/>
  <c r="G13" i="77"/>
  <c r="M13" i="77"/>
  <c r="K19" i="78"/>
  <c r="K31" i="78" s="1"/>
  <c r="G12" i="78"/>
  <c r="M22" i="78"/>
  <c r="I30" i="78"/>
  <c r="M13" i="78"/>
  <c r="M17" i="78"/>
  <c r="M26" i="78"/>
  <c r="M42" i="78"/>
  <c r="L11" i="78"/>
  <c r="L14" i="78"/>
  <c r="L18" i="78"/>
  <c r="I19" i="78"/>
  <c r="L23" i="78"/>
  <c r="L27" i="78"/>
  <c r="C30" i="78"/>
  <c r="G11" i="77"/>
  <c r="F11" i="76" s="1"/>
  <c r="M16" i="77"/>
  <c r="M25" i="77"/>
  <c r="M29" i="77"/>
  <c r="J30" i="77"/>
  <c r="M21" i="77"/>
  <c r="L11" i="77"/>
  <c r="L14" i="77"/>
  <c r="L18" i="77"/>
  <c r="I19" i="77"/>
  <c r="L23" i="77"/>
  <c r="L27" i="77"/>
  <c r="C30" i="77"/>
  <c r="L13" i="77"/>
  <c r="L26" i="77"/>
  <c r="L42" i="77"/>
  <c r="L21" i="77"/>
  <c r="L43" i="76"/>
  <c r="I44" i="76"/>
  <c r="F28" i="76" l="1"/>
  <c r="F15" i="76"/>
  <c r="F14" i="76"/>
  <c r="F12" i="76"/>
  <c r="F27" i="76"/>
  <c r="F18" i="76"/>
  <c r="F29" i="76"/>
  <c r="E31" i="78"/>
  <c r="M30" i="77"/>
  <c r="L30" i="77"/>
  <c r="D31" i="77"/>
  <c r="G31" i="76"/>
  <c r="C31" i="78"/>
  <c r="G30" i="78"/>
  <c r="G19" i="78"/>
  <c r="G30" i="77"/>
  <c r="G19" i="77"/>
  <c r="C31" i="77"/>
  <c r="J31" i="77"/>
  <c r="M19" i="78"/>
  <c r="L19" i="78"/>
  <c r="I31" i="78"/>
  <c r="L30" i="78"/>
  <c r="M30" i="78"/>
  <c r="M19" i="77"/>
  <c r="L19" i="77"/>
  <c r="I31" i="77"/>
  <c r="L44" i="76"/>
  <c r="G31" i="78" l="1"/>
  <c r="G31" i="77"/>
  <c r="M31" i="78"/>
  <c r="I33" i="78"/>
  <c r="L31" i="78"/>
  <c r="I33" i="77"/>
  <c r="M31" i="77"/>
  <c r="L31" i="77"/>
  <c r="E13" i="72"/>
  <c r="H13" i="1"/>
  <c r="H13" i="5"/>
  <c r="E13" i="5" s="1"/>
  <c r="H13" i="6"/>
  <c r="E13" i="6" s="1"/>
  <c r="H13" i="7"/>
  <c r="E13" i="7" s="1"/>
  <c r="H13" i="9"/>
  <c r="E13" i="9" s="1"/>
  <c r="E13" i="1" l="1"/>
  <c r="E13" i="74" s="1"/>
  <c r="L15" i="24"/>
  <c r="M15" i="24"/>
  <c r="N15" i="24"/>
  <c r="K13" i="72" l="1"/>
  <c r="J13" i="72"/>
  <c r="I13" i="72"/>
  <c r="G13" i="72"/>
  <c r="F13" i="72"/>
  <c r="D13" i="72"/>
  <c r="C13" i="72"/>
  <c r="G13" i="9"/>
  <c r="G13" i="7"/>
  <c r="G13" i="6"/>
  <c r="G13" i="5"/>
  <c r="G13" i="8" s="1"/>
  <c r="G13" i="1"/>
  <c r="K13" i="64"/>
  <c r="J13" i="64"/>
  <c r="I13" i="64"/>
  <c r="K13" i="63"/>
  <c r="J13" i="63"/>
  <c r="I13" i="63"/>
  <c r="K13" i="62"/>
  <c r="J13" i="62"/>
  <c r="I13" i="62"/>
  <c r="K13" i="61"/>
  <c r="J13" i="61"/>
  <c r="I13" i="61"/>
  <c r="K13" i="60"/>
  <c r="J13" i="60"/>
  <c r="I13" i="60"/>
  <c r="K13" i="59"/>
  <c r="J13" i="59"/>
  <c r="I13" i="59"/>
  <c r="K13" i="58"/>
  <c r="J13" i="58"/>
  <c r="I13" i="58"/>
  <c r="K13" i="57"/>
  <c r="J13" i="57"/>
  <c r="I13" i="57"/>
  <c r="K13" i="56"/>
  <c r="J13" i="56"/>
  <c r="I13" i="56"/>
  <c r="K13" i="55"/>
  <c r="J13" i="55"/>
  <c r="I13" i="55"/>
  <c r="K13" i="54"/>
  <c r="J13" i="54"/>
  <c r="I13" i="54"/>
  <c r="K13" i="53"/>
  <c r="J13" i="53"/>
  <c r="I13" i="53"/>
  <c r="K13" i="52"/>
  <c r="J13" i="52"/>
  <c r="I13" i="52"/>
  <c r="K13" i="51"/>
  <c r="J13" i="51"/>
  <c r="I13" i="5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K13" i="42"/>
  <c r="J13" i="42"/>
  <c r="I13" i="42"/>
  <c r="K13" i="41"/>
  <c r="J13" i="41"/>
  <c r="I13" i="41"/>
  <c r="L13" i="41" s="1"/>
  <c r="K13" i="40"/>
  <c r="J13" i="40"/>
  <c r="I13" i="40"/>
  <c r="K13" i="39"/>
  <c r="J13" i="39"/>
  <c r="I13" i="39"/>
  <c r="K13" i="38"/>
  <c r="J13" i="38"/>
  <c r="I13" i="38"/>
  <c r="K13" i="37"/>
  <c r="J13" i="37"/>
  <c r="I13" i="37"/>
  <c r="L13" i="37" s="1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E13" i="59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E13" i="4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D13" i="9" l="1"/>
  <c r="D13" i="8" s="1"/>
  <c r="C13" i="9"/>
  <c r="L13" i="76"/>
  <c r="L13" i="57"/>
  <c r="L13" i="58"/>
  <c r="L13" i="63"/>
  <c r="L13" i="51"/>
  <c r="D13" i="6"/>
  <c r="L13" i="43"/>
  <c r="D13" i="5"/>
  <c r="C13" i="5"/>
  <c r="L13" i="59"/>
  <c r="L13" i="54"/>
  <c r="L13" i="42"/>
  <c r="L13" i="62"/>
  <c r="M13" i="40"/>
  <c r="L13" i="38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I13" i="6"/>
  <c r="L13" i="48"/>
  <c r="K13" i="6"/>
  <c r="L13" i="52"/>
  <c r="K13" i="7"/>
  <c r="L13" i="56"/>
  <c r="L13" i="60"/>
  <c r="L13" i="64"/>
  <c r="G13" i="74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B30" i="68"/>
  <c r="C30" i="68"/>
  <c r="D30" i="68"/>
  <c r="E30" i="68"/>
  <c r="F30" i="68"/>
  <c r="B31" i="68"/>
  <c r="C31" i="68"/>
  <c r="D31" i="68"/>
  <c r="E31" i="68"/>
  <c r="F31" i="68"/>
  <c r="I13" i="8" l="1"/>
  <c r="I13" i="74" s="1"/>
  <c r="J13" i="8"/>
  <c r="J13" i="74" s="1"/>
  <c r="K13" i="8"/>
  <c r="K13" i="74" s="1"/>
  <c r="M13" i="76"/>
  <c r="C13" i="74"/>
  <c r="L13" i="5"/>
  <c r="D13" i="74"/>
  <c r="L13" i="1"/>
  <c r="L13" i="7"/>
  <c r="M13" i="9"/>
  <c r="F13" i="5"/>
  <c r="M13" i="6"/>
  <c r="M13" i="1"/>
  <c r="F13" i="6"/>
  <c r="F13" i="1"/>
  <c r="F13" i="8" s="1"/>
  <c r="M13" i="5"/>
  <c r="L13" i="6"/>
  <c r="F13" i="9"/>
  <c r="F13" i="7"/>
  <c r="M13" i="7"/>
  <c r="L13" i="9"/>
  <c r="P7" i="24"/>
  <c r="O7" i="24"/>
  <c r="N7" i="24"/>
  <c r="M7" i="24"/>
  <c r="L7" i="24"/>
  <c r="F13" i="74" l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7" i="66"/>
  <c r="P67" i="66"/>
  <c r="O67" i="66"/>
  <c r="N67" i="66"/>
  <c r="M67" i="66"/>
  <c r="L67" i="66"/>
  <c r="K67" i="66"/>
  <c r="J67" i="66"/>
  <c r="I67" i="66"/>
  <c r="H67" i="66"/>
  <c r="G67" i="66"/>
  <c r="F67" i="66"/>
  <c r="E67" i="66"/>
  <c r="D67" i="66"/>
  <c r="C67" i="66"/>
  <c r="B67" i="66"/>
  <c r="Q66" i="66"/>
  <c r="P66" i="66"/>
  <c r="O66" i="66"/>
  <c r="N66" i="66"/>
  <c r="M66" i="66"/>
  <c r="L66" i="66"/>
  <c r="K66" i="66"/>
  <c r="J66" i="66"/>
  <c r="I66" i="66"/>
  <c r="H66" i="66"/>
  <c r="G66" i="66"/>
  <c r="F66" i="66"/>
  <c r="E66" i="66"/>
  <c r="D66" i="66"/>
  <c r="C66" i="66"/>
  <c r="B66" i="66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B54" i="68" l="1"/>
  <c r="B55" i="68"/>
  <c r="H19" i="78" l="1"/>
  <c r="H19" i="77"/>
  <c r="H30" i="77"/>
  <c r="H30" i="78"/>
  <c r="H31" i="77" l="1"/>
  <c r="H31" i="78"/>
  <c r="J28" i="69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V23" i="24" l="1"/>
  <c r="V15" i="24"/>
  <c r="V7" i="24"/>
  <c r="P91" i="68" l="1"/>
  <c r="P90" i="68"/>
  <c r="O91" i="68"/>
  <c r="O90" i="68"/>
  <c r="Q91" i="68"/>
  <c r="Q90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31" i="68"/>
  <c r="P31" i="68"/>
  <c r="O31" i="68"/>
  <c r="N31" i="68"/>
  <c r="M31" i="68"/>
  <c r="L31" i="68"/>
  <c r="K31" i="68"/>
  <c r="J31" i="68"/>
  <c r="I31" i="68"/>
  <c r="H31" i="68"/>
  <c r="G31" i="68"/>
  <c r="Q30" i="68"/>
  <c r="P30" i="68"/>
  <c r="O30" i="68"/>
  <c r="N30" i="68"/>
  <c r="M30" i="68"/>
  <c r="L30" i="68"/>
  <c r="K30" i="68"/>
  <c r="J30" i="68"/>
  <c r="I30" i="68"/>
  <c r="H30" i="68"/>
  <c r="G30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91" i="68"/>
  <c r="M91" i="68"/>
  <c r="L91" i="68"/>
  <c r="K91" i="68"/>
  <c r="J91" i="68"/>
  <c r="I91" i="68"/>
  <c r="H91" i="68"/>
  <c r="G91" i="68"/>
  <c r="F91" i="68"/>
  <c r="E91" i="68"/>
  <c r="D91" i="68"/>
  <c r="C91" i="68"/>
  <c r="B91" i="68"/>
  <c r="Q79" i="68"/>
  <c r="P79" i="68"/>
  <c r="O79" i="68"/>
  <c r="N79" i="68"/>
  <c r="M79" i="68"/>
  <c r="L79" i="68"/>
  <c r="K79" i="68"/>
  <c r="J79" i="68"/>
  <c r="I79" i="68"/>
  <c r="H79" i="68"/>
  <c r="G79" i="68"/>
  <c r="F79" i="68"/>
  <c r="E79" i="68"/>
  <c r="D79" i="68"/>
  <c r="C79" i="68"/>
  <c r="B79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Q55" i="68"/>
  <c r="P55" i="68"/>
  <c r="O55" i="68"/>
  <c r="N55" i="68"/>
  <c r="M55" i="68"/>
  <c r="L55" i="68"/>
  <c r="K55" i="68"/>
  <c r="J55" i="68"/>
  <c r="I55" i="68"/>
  <c r="H55" i="68"/>
  <c r="G55" i="68"/>
  <c r="F55" i="68"/>
  <c r="E55" i="68"/>
  <c r="D55" i="68"/>
  <c r="C55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90" i="68"/>
  <c r="K21" i="71" s="1"/>
  <c r="M90" i="68"/>
  <c r="K12" i="71" s="1"/>
  <c r="L90" i="68"/>
  <c r="K22" i="71" s="1"/>
  <c r="K90" i="68"/>
  <c r="K27" i="71" s="1"/>
  <c r="J90" i="68"/>
  <c r="K17" i="71" s="1"/>
  <c r="I90" i="68"/>
  <c r="K25" i="71" s="1"/>
  <c r="H90" i="68"/>
  <c r="K26" i="71" s="1"/>
  <c r="G90" i="68"/>
  <c r="K24" i="71" s="1"/>
  <c r="F90" i="68"/>
  <c r="K11" i="71" s="1"/>
  <c r="E90" i="68"/>
  <c r="K16" i="71" s="1"/>
  <c r="D90" i="68"/>
  <c r="K13" i="71" s="1"/>
  <c r="C90" i="68"/>
  <c r="K20" i="71" s="1"/>
  <c r="B90" i="68"/>
  <c r="K28" i="71" s="1"/>
  <c r="Q78" i="68"/>
  <c r="J14" i="71" s="1"/>
  <c r="P78" i="68"/>
  <c r="J23" i="71" s="1"/>
  <c r="O78" i="68"/>
  <c r="J15" i="71" s="1"/>
  <c r="N78" i="68"/>
  <c r="J21" i="71" s="1"/>
  <c r="M78" i="68"/>
  <c r="J12" i="71" s="1"/>
  <c r="L78" i="68"/>
  <c r="J22" i="71" s="1"/>
  <c r="K78" i="68"/>
  <c r="J27" i="71" s="1"/>
  <c r="J78" i="68"/>
  <c r="J17" i="71" s="1"/>
  <c r="I78" i="68"/>
  <c r="J25" i="71" s="1"/>
  <c r="H78" i="68"/>
  <c r="J26" i="71" s="1"/>
  <c r="G78" i="68"/>
  <c r="J24" i="71" s="1"/>
  <c r="F78" i="68"/>
  <c r="J11" i="71" s="1"/>
  <c r="E78" i="68"/>
  <c r="J16" i="71" s="1"/>
  <c r="D78" i="68"/>
  <c r="J13" i="71" s="1"/>
  <c r="C78" i="68"/>
  <c r="J20" i="71" s="1"/>
  <c r="B78" i="68"/>
  <c r="J28" i="71" s="1"/>
  <c r="Q66" i="68"/>
  <c r="I14" i="71" s="1"/>
  <c r="P66" i="68"/>
  <c r="I23" i="71" s="1"/>
  <c r="O66" i="68"/>
  <c r="I15" i="71" s="1"/>
  <c r="N66" i="68"/>
  <c r="I21" i="71" s="1"/>
  <c r="M66" i="68"/>
  <c r="I12" i="71" s="1"/>
  <c r="L66" i="68"/>
  <c r="I22" i="71" s="1"/>
  <c r="K66" i="68"/>
  <c r="I27" i="71" s="1"/>
  <c r="J66" i="68"/>
  <c r="I17" i="71" s="1"/>
  <c r="I66" i="68"/>
  <c r="I25" i="71" s="1"/>
  <c r="H66" i="68"/>
  <c r="I26" i="71" s="1"/>
  <c r="G66" i="68"/>
  <c r="I24" i="71" s="1"/>
  <c r="F66" i="68"/>
  <c r="I11" i="71" s="1"/>
  <c r="E66" i="68"/>
  <c r="I16" i="71" s="1"/>
  <c r="D66" i="68"/>
  <c r="I13" i="71" s="1"/>
  <c r="C66" i="68"/>
  <c r="I20" i="71" s="1"/>
  <c r="B66" i="68"/>
  <c r="I28" i="71" s="1"/>
  <c r="Q54" i="68"/>
  <c r="G14" i="71" s="1"/>
  <c r="P54" i="68"/>
  <c r="G23" i="71" s="1"/>
  <c r="O54" i="68"/>
  <c r="G15" i="71" s="1"/>
  <c r="N54" i="68"/>
  <c r="G21" i="71" s="1"/>
  <c r="M54" i="68"/>
  <c r="G12" i="71" s="1"/>
  <c r="L54" i="68"/>
  <c r="G22" i="71" s="1"/>
  <c r="K54" i="68"/>
  <c r="G27" i="71" s="1"/>
  <c r="J54" i="68"/>
  <c r="G17" i="71" s="1"/>
  <c r="I54" i="68"/>
  <c r="G25" i="71" s="1"/>
  <c r="H54" i="68"/>
  <c r="G26" i="71" s="1"/>
  <c r="G54" i="68"/>
  <c r="G24" i="71" s="1"/>
  <c r="F54" i="68"/>
  <c r="G11" i="71" s="1"/>
  <c r="E54" i="68"/>
  <c r="G16" i="71" s="1"/>
  <c r="D54" i="68"/>
  <c r="G13" i="71" s="1"/>
  <c r="C54" i="68"/>
  <c r="G20" i="71" s="1"/>
  <c r="G28" i="71"/>
  <c r="Q42" i="68"/>
  <c r="F14" i="71" s="1"/>
  <c r="P42" i="68"/>
  <c r="F23" i="71" s="1"/>
  <c r="O42" i="68"/>
  <c r="F15" i="71" s="1"/>
  <c r="N42" i="68"/>
  <c r="F21" i="71" s="1"/>
  <c r="M42" i="68"/>
  <c r="F12" i="71" s="1"/>
  <c r="L42" i="68"/>
  <c r="F22" i="71" s="1"/>
  <c r="K42" i="68"/>
  <c r="F27" i="71" s="1"/>
  <c r="J42" i="68"/>
  <c r="F17" i="71" s="1"/>
  <c r="I42" i="68"/>
  <c r="F25" i="71" s="1"/>
  <c r="H42" i="68"/>
  <c r="F26" i="71" s="1"/>
  <c r="G42" i="68"/>
  <c r="F24" i="71" s="1"/>
  <c r="F42" i="68"/>
  <c r="F11" i="71" s="1"/>
  <c r="E42" i="68"/>
  <c r="F16" i="71" s="1"/>
  <c r="D42" i="68"/>
  <c r="F13" i="71" s="1"/>
  <c r="C42" i="68"/>
  <c r="F20" i="71" s="1"/>
  <c r="B42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6" i="66"/>
  <c r="H42" i="63" s="1"/>
  <c r="S62" i="66"/>
  <c r="H42" i="59" s="1"/>
  <c r="S58" i="66"/>
  <c r="H42" i="55" s="1"/>
  <c r="S54" i="66"/>
  <c r="H42" i="51" s="1"/>
  <c r="S50" i="66"/>
  <c r="H42" i="47" s="1"/>
  <c r="S46" i="66"/>
  <c r="H42" i="43" s="1"/>
  <c r="S42" i="66"/>
  <c r="H42" i="39" s="1"/>
  <c r="S38" i="66"/>
  <c r="H42" i="28" s="1"/>
  <c r="S67" i="66"/>
  <c r="R67" i="66"/>
  <c r="R66" i="66"/>
  <c r="H41" i="63" s="1"/>
  <c r="S65" i="66"/>
  <c r="H42" i="62" s="1"/>
  <c r="R65" i="66"/>
  <c r="H41" i="62" s="1"/>
  <c r="S64" i="66"/>
  <c r="H42" i="61" s="1"/>
  <c r="R64" i="66"/>
  <c r="H41" i="61" s="1"/>
  <c r="S63" i="66"/>
  <c r="H42" i="60" s="1"/>
  <c r="R63" i="66"/>
  <c r="H41" i="60" s="1"/>
  <c r="R62" i="66"/>
  <c r="H41" i="59" s="1"/>
  <c r="S61" i="66"/>
  <c r="H42" i="58" s="1"/>
  <c r="R61" i="66"/>
  <c r="H41" i="58" s="1"/>
  <c r="S60" i="66"/>
  <c r="H42" i="57" s="1"/>
  <c r="R60" i="66"/>
  <c r="H41" i="57" s="1"/>
  <c r="S59" i="66"/>
  <c r="H42" i="56" s="1"/>
  <c r="R59" i="66"/>
  <c r="H41" i="56" s="1"/>
  <c r="R58" i="66"/>
  <c r="H41" i="55" s="1"/>
  <c r="S57" i="66"/>
  <c r="H42" i="54" s="1"/>
  <c r="R57" i="66"/>
  <c r="H41" i="54" s="1"/>
  <c r="S56" i="66"/>
  <c r="H42" i="53" s="1"/>
  <c r="R56" i="66"/>
  <c r="H41" i="53" s="1"/>
  <c r="S55" i="66"/>
  <c r="H42" i="52" s="1"/>
  <c r="R55" i="66"/>
  <c r="H41" i="52" s="1"/>
  <c r="R54" i="66"/>
  <c r="H41" i="51" s="1"/>
  <c r="S53" i="66"/>
  <c r="H42" i="50" s="1"/>
  <c r="R53" i="66"/>
  <c r="H41" i="50" s="1"/>
  <c r="S52" i="66"/>
  <c r="H42" i="49" s="1"/>
  <c r="R52" i="66"/>
  <c r="H41" i="49" s="1"/>
  <c r="S51" i="66"/>
  <c r="H42" i="48" s="1"/>
  <c r="R51" i="66"/>
  <c r="H41" i="48" s="1"/>
  <c r="R50" i="66"/>
  <c r="H41" i="47" s="1"/>
  <c r="S49" i="66"/>
  <c r="H42" i="46" s="1"/>
  <c r="R49" i="66"/>
  <c r="H41" i="46" s="1"/>
  <c r="S48" i="66"/>
  <c r="H42" i="45" s="1"/>
  <c r="R48" i="66"/>
  <c r="H41" i="45" s="1"/>
  <c r="S47" i="66"/>
  <c r="H42" i="44" s="1"/>
  <c r="R47" i="66"/>
  <c r="H41" i="44" s="1"/>
  <c r="R46" i="66"/>
  <c r="H41" i="43" s="1"/>
  <c r="S45" i="66"/>
  <c r="H42" i="42" s="1"/>
  <c r="R45" i="66"/>
  <c r="H41" i="42" s="1"/>
  <c r="S44" i="66"/>
  <c r="H42" i="41" s="1"/>
  <c r="R44" i="66"/>
  <c r="H41" i="41" s="1"/>
  <c r="S43" i="66"/>
  <c r="H42" i="40" s="1"/>
  <c r="R43" i="66"/>
  <c r="H41" i="40" s="1"/>
  <c r="R42" i="66"/>
  <c r="H41" i="39" s="1"/>
  <c r="S41" i="66"/>
  <c r="H42" i="38" s="1"/>
  <c r="R41" i="66"/>
  <c r="H41" i="38" s="1"/>
  <c r="S40" i="66"/>
  <c r="H42" i="37" s="1"/>
  <c r="R40" i="66"/>
  <c r="H41" i="37" s="1"/>
  <c r="S39" i="66"/>
  <c r="H42" i="36" s="1"/>
  <c r="R39" i="66"/>
  <c r="H41" i="36" s="1"/>
  <c r="R38" i="66"/>
  <c r="H41" i="28" s="1"/>
  <c r="E45" i="76" l="1"/>
  <c r="H41" i="64"/>
  <c r="H42" i="64"/>
  <c r="E46" i="76"/>
  <c r="H46" i="9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24" i="59"/>
  <c r="H16" i="59"/>
  <c r="H22" i="59"/>
  <c r="H12" i="59"/>
  <c r="H23" i="59"/>
  <c r="H28" i="59"/>
  <c r="H18" i="59"/>
  <c r="H26" i="59"/>
  <c r="H27" i="59"/>
  <c r="H25" i="59"/>
  <c r="H11" i="59"/>
  <c r="H17" i="59"/>
  <c r="H14" i="59"/>
  <c r="H21" i="59"/>
  <c r="H29" i="59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21" i="9" l="1"/>
  <c r="H25" i="9"/>
  <c r="E25" i="76"/>
  <c r="H28" i="9"/>
  <c r="E28" i="76"/>
  <c r="H16" i="9"/>
  <c r="H14" i="9"/>
  <c r="H27" i="9"/>
  <c r="E27" i="76"/>
  <c r="H23" i="9"/>
  <c r="E23" i="76"/>
  <c r="H24" i="9"/>
  <c r="E24" i="76"/>
  <c r="H17" i="9"/>
  <c r="H26" i="9"/>
  <c r="E26" i="76"/>
  <c r="H12" i="9"/>
  <c r="H15" i="9"/>
  <c r="H29" i="9"/>
  <c r="E29" i="76"/>
  <c r="H11" i="9"/>
  <c r="H18" i="9"/>
  <c r="H22" i="9"/>
  <c r="E22" i="76"/>
  <c r="H30" i="62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5" i="8" s="1"/>
  <c r="G14" i="5"/>
  <c r="G12" i="5"/>
  <c r="G11" i="5"/>
  <c r="G29" i="1"/>
  <c r="G29" i="8" s="1"/>
  <c r="G28" i="1"/>
  <c r="G27" i="1"/>
  <c r="G27" i="8" s="1"/>
  <c r="G26" i="1"/>
  <c r="G25" i="1"/>
  <c r="G25" i="8" s="1"/>
  <c r="G24" i="1"/>
  <c r="G23" i="1"/>
  <c r="G22" i="1"/>
  <c r="G22" i="8" s="1"/>
  <c r="G21" i="1"/>
  <c r="G21" i="8" s="1"/>
  <c r="G18" i="1"/>
  <c r="G17" i="1"/>
  <c r="G17" i="8" s="1"/>
  <c r="G16" i="1"/>
  <c r="G16" i="8" s="1"/>
  <c r="G15" i="1"/>
  <c r="G14" i="1"/>
  <c r="G14" i="8" s="1"/>
  <c r="G12" i="1"/>
  <c r="G11" i="1"/>
  <c r="G11" i="8" s="1"/>
  <c r="G24" i="8" l="1"/>
  <c r="G12" i="8"/>
  <c r="G23" i="8"/>
  <c r="G28" i="8"/>
  <c r="G18" i="8"/>
  <c r="G26" i="8"/>
  <c r="H19" i="76"/>
  <c r="E19" i="76"/>
  <c r="H30" i="76"/>
  <c r="E21" i="76"/>
  <c r="E30" i="76" s="1"/>
  <c r="H31" i="60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H31" i="76" l="1"/>
  <c r="E31" i="76"/>
  <c r="G14" i="64"/>
  <c r="M11" i="63"/>
  <c r="G15" i="63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M46" i="76" s="1"/>
  <c r="K41" i="59"/>
  <c r="J42" i="59"/>
  <c r="L46" i="76" s="1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J19" i="76" s="1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C30" i="76" s="1"/>
  <c r="F18" i="59"/>
  <c r="F17" i="59"/>
  <c r="F16" i="59"/>
  <c r="F15" i="59"/>
  <c r="F14" i="59"/>
  <c r="F12" i="59"/>
  <c r="F11" i="59"/>
  <c r="C19" i="76" s="1"/>
  <c r="E29" i="59"/>
  <c r="E28" i="59"/>
  <c r="E27" i="59"/>
  <c r="E26" i="59"/>
  <c r="E25" i="59"/>
  <c r="E24" i="59"/>
  <c r="E23" i="59"/>
  <c r="E22" i="59"/>
  <c r="E21" i="59"/>
  <c r="D30" i="76" s="1"/>
  <c r="E18" i="59"/>
  <c r="E17" i="59"/>
  <c r="E16" i="59"/>
  <c r="E15" i="59"/>
  <c r="E14" i="59"/>
  <c r="E12" i="59"/>
  <c r="E11" i="59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C31" i="76" l="1"/>
  <c r="J30" i="76"/>
  <c r="J31" i="76" s="1"/>
  <c r="K30" i="76"/>
  <c r="K19" i="76"/>
  <c r="M25" i="76"/>
  <c r="L25" i="76"/>
  <c r="M29" i="76"/>
  <c r="L29" i="76"/>
  <c r="L45" i="76"/>
  <c r="M45" i="76"/>
  <c r="M11" i="76"/>
  <c r="L11" i="76"/>
  <c r="I19" i="76"/>
  <c r="L16" i="76"/>
  <c r="M16" i="76"/>
  <c r="M22" i="76"/>
  <c r="L22" i="76"/>
  <c r="M26" i="76"/>
  <c r="L26" i="76"/>
  <c r="M21" i="76"/>
  <c r="I30" i="76"/>
  <c r="L21" i="76"/>
  <c r="M12" i="76"/>
  <c r="L12" i="76"/>
  <c r="M17" i="76"/>
  <c r="L17" i="76"/>
  <c r="M23" i="76"/>
  <c r="L23" i="76"/>
  <c r="M27" i="76"/>
  <c r="L27" i="76"/>
  <c r="M15" i="76"/>
  <c r="L15" i="76"/>
  <c r="L14" i="76"/>
  <c r="M14" i="76"/>
  <c r="L18" i="76"/>
  <c r="M18" i="76"/>
  <c r="M24" i="76"/>
  <c r="L24" i="76"/>
  <c r="M28" i="76"/>
  <c r="L28" i="76"/>
  <c r="D15" i="9"/>
  <c r="D11" i="9"/>
  <c r="D16" i="9"/>
  <c r="D12" i="9"/>
  <c r="D17" i="9"/>
  <c r="D14" i="9"/>
  <c r="D18" i="9"/>
  <c r="G25" i="60"/>
  <c r="G29" i="60"/>
  <c r="G26" i="60"/>
  <c r="G26" i="62"/>
  <c r="M15" i="62"/>
  <c r="L26" i="60"/>
  <c r="G28" i="60"/>
  <c r="M15" i="61"/>
  <c r="M28" i="61"/>
  <c r="K31" i="63"/>
  <c r="G14" i="60"/>
  <c r="M14" i="62"/>
  <c r="D19" i="9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K31" i="76" l="1"/>
  <c r="M30" i="76"/>
  <c r="L30" i="76"/>
  <c r="I31" i="76"/>
  <c r="L19" i="76"/>
  <c r="M19" i="76"/>
  <c r="D19" i="76"/>
  <c r="D31" i="76" s="1"/>
  <c r="K31" i="60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L31" i="76" l="1"/>
  <c r="I33" i="76"/>
  <c r="M31" i="76"/>
  <c r="G31" i="60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G41" i="59"/>
  <c r="M29" i="59"/>
  <c r="G29" i="59"/>
  <c r="L28" i="59"/>
  <c r="M28" i="59"/>
  <c r="G28" i="59"/>
  <c r="M27" i="59"/>
  <c r="G27" i="59"/>
  <c r="L26" i="59"/>
  <c r="M26" i="59"/>
  <c r="G26" i="59"/>
  <c r="M25" i="59"/>
  <c r="G25" i="59"/>
  <c r="L24" i="59"/>
  <c r="M24" i="59"/>
  <c r="G24" i="59"/>
  <c r="M23" i="59"/>
  <c r="G23" i="59"/>
  <c r="L22" i="59"/>
  <c r="M22" i="59"/>
  <c r="G22" i="59"/>
  <c r="K30" i="59"/>
  <c r="J30" i="59"/>
  <c r="M21" i="59"/>
  <c r="F30" i="59"/>
  <c r="E30" i="59"/>
  <c r="D30" i="59"/>
  <c r="C30" i="59"/>
  <c r="L18" i="59"/>
  <c r="M18" i="59"/>
  <c r="G18" i="59"/>
  <c r="M17" i="59"/>
  <c r="G17" i="59"/>
  <c r="L16" i="59"/>
  <c r="M16" i="59"/>
  <c r="G16" i="59"/>
  <c r="M15" i="59"/>
  <c r="G15" i="59"/>
  <c r="L14" i="59"/>
  <c r="M14" i="59"/>
  <c r="G14" i="59"/>
  <c r="M12" i="59"/>
  <c r="G12" i="59"/>
  <c r="K19" i="59"/>
  <c r="J19" i="59"/>
  <c r="M11" i="59"/>
  <c r="F19" i="59"/>
  <c r="E19" i="59"/>
  <c r="D19" i="59"/>
  <c r="C19" i="59"/>
  <c r="F45" i="9" l="1"/>
  <c r="F45" i="76"/>
  <c r="F46" i="9"/>
  <c r="F46" i="76"/>
  <c r="F12" i="9"/>
  <c r="F15" i="9"/>
  <c r="F23" i="9"/>
  <c r="F28" i="9"/>
  <c r="F14" i="9"/>
  <c r="F22" i="9"/>
  <c r="F25" i="9"/>
  <c r="F17" i="9"/>
  <c r="F16" i="9"/>
  <c r="F24" i="9"/>
  <c r="F27" i="9"/>
  <c r="F18" i="9"/>
  <c r="F26" i="9"/>
  <c r="F29" i="9"/>
  <c r="F31" i="59"/>
  <c r="C31" i="59"/>
  <c r="D31" i="59"/>
  <c r="J31" i="59"/>
  <c r="E31" i="59"/>
  <c r="K31" i="59"/>
  <c r="L11" i="59"/>
  <c r="I19" i="59"/>
  <c r="G11" i="59"/>
  <c r="G21" i="59"/>
  <c r="F30" i="76" s="1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M25" i="58" s="1"/>
  <c r="I24" i="58"/>
  <c r="I23" i="58"/>
  <c r="I22" i="58"/>
  <c r="I21" i="58"/>
  <c r="I18" i="58"/>
  <c r="M18" i="58" s="1"/>
  <c r="I17" i="58"/>
  <c r="I16" i="58"/>
  <c r="I15" i="58"/>
  <c r="M15" i="58" s="1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F19" i="76" l="1"/>
  <c r="F31" i="76" s="1"/>
  <c r="G17" i="58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25" i="51" l="1"/>
  <c r="M21" i="52"/>
  <c r="M18" i="5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G29" i="45" l="1"/>
  <c r="M11" i="46"/>
  <c r="G12" i="46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G23" i="43" s="1"/>
  <c r="C22" i="43"/>
  <c r="C21" i="43"/>
  <c r="C18" i="43"/>
  <c r="C17" i="43"/>
  <c r="C16" i="43"/>
  <c r="C15" i="43"/>
  <c r="C14" i="43"/>
  <c r="C12" i="43"/>
  <c r="C11" i="43"/>
  <c r="H30" i="43"/>
  <c r="H19" i="43"/>
  <c r="L23" i="43" l="1"/>
  <c r="L14" i="43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J26" i="8" s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K45" i="1" l="1"/>
  <c r="G42" i="36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9" i="8" s="1"/>
  <c r="K28" i="28"/>
  <c r="K28" i="1" s="1"/>
  <c r="K28" i="8" s="1"/>
  <c r="K27" i="28"/>
  <c r="K27" i="1" s="1"/>
  <c r="K27" i="8" s="1"/>
  <c r="K26" i="28"/>
  <c r="K26" i="1" s="1"/>
  <c r="K26" i="8" s="1"/>
  <c r="K25" i="28"/>
  <c r="K25" i="1" s="1"/>
  <c r="K25" i="8" s="1"/>
  <c r="K24" i="28"/>
  <c r="K24" i="1" s="1"/>
  <c r="K24" i="8" s="1"/>
  <c r="K23" i="28"/>
  <c r="K23" i="1" s="1"/>
  <c r="K23" i="8" s="1"/>
  <c r="K22" i="28"/>
  <c r="K22" i="1" s="1"/>
  <c r="K22" i="8" s="1"/>
  <c r="K21" i="28"/>
  <c r="K21" i="1" s="1"/>
  <c r="K21" i="8" s="1"/>
  <c r="K18" i="28"/>
  <c r="K18" i="1" s="1"/>
  <c r="K18" i="8" s="1"/>
  <c r="K17" i="28"/>
  <c r="K17" i="1" s="1"/>
  <c r="K17" i="8" s="1"/>
  <c r="K16" i="28"/>
  <c r="K16" i="1" s="1"/>
  <c r="K16" i="8" s="1"/>
  <c r="K15" i="28"/>
  <c r="K15" i="1" s="1"/>
  <c r="K15" i="8" s="1"/>
  <c r="K14" i="28"/>
  <c r="K14" i="1" s="1"/>
  <c r="K14" i="8" s="1"/>
  <c r="K12" i="28"/>
  <c r="K12" i="1" s="1"/>
  <c r="K12" i="8" s="1"/>
  <c r="K11" i="28"/>
  <c r="K11" i="1" s="1"/>
  <c r="K11" i="8" s="1"/>
  <c r="J29" i="28"/>
  <c r="J29" i="1" s="1"/>
  <c r="J29" i="8" s="1"/>
  <c r="J28" i="28"/>
  <c r="J28" i="1" s="1"/>
  <c r="J28" i="8" s="1"/>
  <c r="J27" i="28"/>
  <c r="J27" i="1" s="1"/>
  <c r="J27" i="8" s="1"/>
  <c r="J25" i="28"/>
  <c r="J25" i="1" s="1"/>
  <c r="J25" i="8" s="1"/>
  <c r="J24" i="28"/>
  <c r="J24" i="1" s="1"/>
  <c r="J24" i="8" s="1"/>
  <c r="J23" i="28"/>
  <c r="J23" i="1" s="1"/>
  <c r="J23" i="8" s="1"/>
  <c r="J22" i="28"/>
  <c r="J22" i="1" s="1"/>
  <c r="J22" i="8" s="1"/>
  <c r="J21" i="28"/>
  <c r="J21" i="1" s="1"/>
  <c r="J21" i="8" s="1"/>
  <c r="J18" i="28"/>
  <c r="J18" i="1" s="1"/>
  <c r="J18" i="8" s="1"/>
  <c r="J17" i="28"/>
  <c r="J17" i="1" s="1"/>
  <c r="J17" i="8" s="1"/>
  <c r="J16" i="28"/>
  <c r="J16" i="1" s="1"/>
  <c r="J16" i="8" s="1"/>
  <c r="J15" i="28"/>
  <c r="J15" i="1" s="1"/>
  <c r="J15" i="8" s="1"/>
  <c r="J14" i="28"/>
  <c r="J14" i="1" s="1"/>
  <c r="J14" i="8" s="1"/>
  <c r="J12" i="28"/>
  <c r="J12" i="1" s="1"/>
  <c r="J12" i="8" s="1"/>
  <c r="J11" i="28"/>
  <c r="J11" i="1" s="1"/>
  <c r="J11" i="8" s="1"/>
  <c r="D21" i="28"/>
  <c r="C21" i="28"/>
  <c r="I29" i="28"/>
  <c r="I29" i="1" s="1"/>
  <c r="I29" i="8" s="1"/>
  <c r="I28" i="28"/>
  <c r="I28" i="1" s="1"/>
  <c r="I28" i="8" s="1"/>
  <c r="I27" i="28"/>
  <c r="I27" i="1" s="1"/>
  <c r="I27" i="8" s="1"/>
  <c r="I26" i="28"/>
  <c r="I26" i="1" s="1"/>
  <c r="I26" i="8" s="1"/>
  <c r="I25" i="28"/>
  <c r="I25" i="1" s="1"/>
  <c r="I25" i="8" s="1"/>
  <c r="I24" i="28"/>
  <c r="I24" i="1" s="1"/>
  <c r="I24" i="8" s="1"/>
  <c r="I23" i="28"/>
  <c r="I23" i="1" s="1"/>
  <c r="I23" i="8" s="1"/>
  <c r="I22" i="28"/>
  <c r="I22" i="1" s="1"/>
  <c r="I22" i="8" s="1"/>
  <c r="I21" i="28"/>
  <c r="I21" i="1" s="1"/>
  <c r="I21" i="8" s="1"/>
  <c r="I18" i="28"/>
  <c r="I18" i="1" s="1"/>
  <c r="I18" i="8" s="1"/>
  <c r="I17" i="28"/>
  <c r="I17" i="1" s="1"/>
  <c r="I17" i="8" s="1"/>
  <c r="I16" i="28"/>
  <c r="I16" i="1" s="1"/>
  <c r="I16" i="8" s="1"/>
  <c r="I15" i="28"/>
  <c r="I15" i="1" s="1"/>
  <c r="I15" i="8" s="1"/>
  <c r="I14" i="28"/>
  <c r="I14" i="1" s="1"/>
  <c r="I14" i="8" s="1"/>
  <c r="I12" i="28"/>
  <c r="I12" i="1" s="1"/>
  <c r="I12" i="8" s="1"/>
  <c r="I11" i="28"/>
  <c r="I11" i="1" s="1"/>
  <c r="I11" i="8" s="1"/>
  <c r="F29" i="28"/>
  <c r="C29" i="1" s="1"/>
  <c r="C29" i="8" s="1"/>
  <c r="E29" i="28"/>
  <c r="D29" i="1" s="1"/>
  <c r="D29" i="8" s="1"/>
  <c r="E21" i="28"/>
  <c r="D21" i="1" s="1"/>
  <c r="D21" i="8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D14" i="8" s="1"/>
  <c r="E17" i="28"/>
  <c r="D17" i="1" s="1"/>
  <c r="D17" i="8" s="1"/>
  <c r="D17" i="28"/>
  <c r="C25" i="28"/>
  <c r="G29" i="28"/>
  <c r="F29" i="1" s="1"/>
  <c r="F29" i="8" s="1"/>
  <c r="F14" i="28"/>
  <c r="C14" i="1" s="1"/>
  <c r="C14" i="8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F21" i="8" s="1"/>
  <c r="C21" i="1"/>
  <c r="C21" i="8" s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8" s="1"/>
  <c r="D11" i="28"/>
  <c r="C27" i="28"/>
  <c r="G14" i="28"/>
  <c r="F14" i="1" s="1"/>
  <c r="F14" i="8" s="1"/>
  <c r="L19" i="28"/>
  <c r="I31" i="28"/>
  <c r="F17" i="28"/>
  <c r="C17" i="1" s="1"/>
  <c r="C17" i="8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8" s="1"/>
  <c r="D25" i="28"/>
  <c r="C26" i="28"/>
  <c r="L31" i="28"/>
  <c r="G17" i="28"/>
  <c r="F17" i="1" s="1"/>
  <c r="F17" i="8" s="1"/>
  <c r="F11" i="28"/>
  <c r="C11" i="1" s="1"/>
  <c r="C11" i="8" s="1"/>
  <c r="C11" i="28"/>
  <c r="I33" i="28"/>
  <c r="E27" i="28" l="1"/>
  <c r="D27" i="1" s="1"/>
  <c r="D27" i="8" s="1"/>
  <c r="D27" i="28"/>
  <c r="C28" i="28"/>
  <c r="G11" i="28"/>
  <c r="F11" i="1" s="1"/>
  <c r="F11" i="8" s="1"/>
  <c r="F25" i="28"/>
  <c r="C18" i="28"/>
  <c r="G25" i="28" l="1"/>
  <c r="F25" i="1" s="1"/>
  <c r="F25" i="8" s="1"/>
  <c r="C25" i="1"/>
  <c r="C25" i="8" s="1"/>
  <c r="E26" i="28"/>
  <c r="D26" i="1" s="1"/>
  <c r="D26" i="8" s="1"/>
  <c r="D26" i="28"/>
  <c r="C23" i="28"/>
  <c r="F27" i="28"/>
  <c r="G27" i="28" l="1"/>
  <c r="F27" i="1" s="1"/>
  <c r="F27" i="8" s="1"/>
  <c r="C27" i="1"/>
  <c r="C27" i="8" s="1"/>
  <c r="E18" i="28"/>
  <c r="D18" i="1" s="1"/>
  <c r="D18" i="8" s="1"/>
  <c r="D18" i="28"/>
  <c r="C22" i="28"/>
  <c r="C12" i="28"/>
  <c r="F26" i="28"/>
  <c r="G26" i="28" l="1"/>
  <c r="F26" i="1" s="1"/>
  <c r="F26" i="8" s="1"/>
  <c r="C26" i="1"/>
  <c r="C26" i="8" s="1"/>
  <c r="C16" i="28"/>
  <c r="E28" i="28"/>
  <c r="D28" i="1" s="1"/>
  <c r="D28" i="8" s="1"/>
  <c r="D28" i="28"/>
  <c r="C15" i="28"/>
  <c r="C24" i="28"/>
  <c r="C30" i="28" s="1"/>
  <c r="F18" i="28"/>
  <c r="E44" i="8"/>
  <c r="E41" i="74" s="1"/>
  <c r="G18" i="28" l="1"/>
  <c r="F18" i="1" s="1"/>
  <c r="F18" i="8" s="1"/>
  <c r="C18" i="1"/>
  <c r="C18" i="8" s="1"/>
  <c r="C19" i="28"/>
  <c r="C31" i="28" s="1"/>
  <c r="E23" i="28"/>
  <c r="D23" i="1" s="1"/>
  <c r="D23" i="8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F28" i="8" s="1"/>
  <c r="C28" i="1"/>
  <c r="C28" i="8" s="1"/>
  <c r="E12" i="28"/>
  <c r="D12" i="1" s="1"/>
  <c r="D12" i="8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F23" i="8" s="1"/>
  <c r="C23" i="1"/>
  <c r="C23" i="8" s="1"/>
  <c r="E22" i="28"/>
  <c r="D22" i="1" s="1"/>
  <c r="D22" i="8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P15" i="24"/>
  <c r="O15" i="24"/>
  <c r="Z30" i="24"/>
  <c r="Z29" i="24"/>
  <c r="Z28" i="24"/>
  <c r="Y30" i="24"/>
  <c r="Y29" i="24"/>
  <c r="Y28" i="24"/>
  <c r="X30" i="24"/>
  <c r="X29" i="24"/>
  <c r="X28" i="24"/>
  <c r="W30" i="24"/>
  <c r="W29" i="24"/>
  <c r="W28" i="24"/>
  <c r="V30" i="24"/>
  <c r="V29" i="24"/>
  <c r="V28" i="24"/>
  <c r="W23" i="24"/>
  <c r="X23" i="24"/>
  <c r="Y23" i="24"/>
  <c r="Z23" i="24"/>
  <c r="W15" i="24"/>
  <c r="X15" i="24"/>
  <c r="Y15" i="24"/>
  <c r="Z15" i="24"/>
  <c r="AC5" i="24"/>
  <c r="Z7" i="24"/>
  <c r="Y7" i="24"/>
  <c r="X7" i="24"/>
  <c r="W7" i="24"/>
  <c r="K43" i="9" l="1"/>
  <c r="M43" i="76"/>
  <c r="K42" i="9"/>
  <c r="M42" i="9" s="1"/>
  <c r="M42" i="76"/>
  <c r="K41" i="9"/>
  <c r="M41" i="9" s="1"/>
  <c r="G12" i="28"/>
  <c r="F12" i="1" s="1"/>
  <c r="F12" i="8" s="1"/>
  <c r="C12" i="1"/>
  <c r="C12" i="8" s="1"/>
  <c r="E16" i="28"/>
  <c r="D16" i="1" s="1"/>
  <c r="D16" i="8" s="1"/>
  <c r="D16" i="28"/>
  <c r="F22" i="28"/>
  <c r="F44" i="9"/>
  <c r="C44" i="9"/>
  <c r="I7" i="24"/>
  <c r="S7" i="24"/>
  <c r="AC7" i="24"/>
  <c r="Y31" i="24"/>
  <c r="AB29" i="24"/>
  <c r="W31" i="24"/>
  <c r="AC15" i="24"/>
  <c r="X31" i="24"/>
  <c r="AC23" i="24"/>
  <c r="I44" i="7"/>
  <c r="AB30" i="24"/>
  <c r="AB28" i="24"/>
  <c r="S15" i="24"/>
  <c r="J44" i="9"/>
  <c r="M43" i="9"/>
  <c r="Z31" i="24"/>
  <c r="L42" i="9"/>
  <c r="V31" i="24"/>
  <c r="I44" i="9"/>
  <c r="L43" i="9"/>
  <c r="L41" i="9"/>
  <c r="K44" i="9" l="1"/>
  <c r="M44" i="9" s="1"/>
  <c r="K44" i="76"/>
  <c r="M44" i="76" s="1"/>
  <c r="M41" i="76"/>
  <c r="G22" i="28"/>
  <c r="F22" i="1" s="1"/>
  <c r="F22" i="8" s="1"/>
  <c r="C22" i="1"/>
  <c r="C22" i="8" s="1"/>
  <c r="E15" i="28"/>
  <c r="E24" i="28"/>
  <c r="D24" i="28"/>
  <c r="D30" i="28" s="1"/>
  <c r="D15" i="28"/>
  <c r="D19" i="28" s="1"/>
  <c r="F16" i="28"/>
  <c r="AB31" i="24"/>
  <c r="L44" i="9"/>
  <c r="G16" i="28" l="1"/>
  <c r="F16" i="1" s="1"/>
  <c r="F16" i="8" s="1"/>
  <c r="C16" i="1"/>
  <c r="C16" i="8" s="1"/>
  <c r="E30" i="28"/>
  <c r="D24" i="1"/>
  <c r="D24" i="8" s="1"/>
  <c r="E19" i="28"/>
  <c r="D15" i="1"/>
  <c r="D15" i="8" s="1"/>
  <c r="D31" i="28"/>
  <c r="F15" i="28"/>
  <c r="C15" i="1" s="1"/>
  <c r="C15" i="8" s="1"/>
  <c r="F24" i="28"/>
  <c r="C24" i="1" s="1"/>
  <c r="C24" i="8" s="1"/>
  <c r="E31" i="28" l="1"/>
  <c r="F30" i="28"/>
  <c r="G24" i="28"/>
  <c r="F19" i="28"/>
  <c r="G15" i="28"/>
  <c r="F15" i="24"/>
  <c r="E15" i="24"/>
  <c r="D15" i="24"/>
  <c r="C15" i="24"/>
  <c r="B15" i="24"/>
  <c r="G30" i="28" l="1"/>
  <c r="F24" i="1"/>
  <c r="F24" i="8" s="1"/>
  <c r="G19" i="28"/>
  <c r="F15" i="1"/>
  <c r="F15" i="8" s="1"/>
  <c r="F31" i="28"/>
  <c r="I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P28" i="24" l="1"/>
  <c r="O28" i="24"/>
  <c r="E28" i="24" s="1"/>
  <c r="N28" i="24"/>
  <c r="D28" i="24" s="1"/>
  <c r="M28" i="24"/>
  <c r="C28" i="24" s="1"/>
  <c r="L28" i="24"/>
  <c r="B28" i="24" s="1"/>
  <c r="F28" i="24" l="1"/>
  <c r="H28" i="24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74"/>
  <c r="J27" i="74"/>
  <c r="M27" i="6"/>
  <c r="H27" i="74"/>
  <c r="L27" i="9"/>
  <c r="X29" i="8"/>
  <c r="W29" i="8"/>
  <c r="M27" i="9"/>
  <c r="L27" i="7"/>
  <c r="L27" i="6"/>
  <c r="L27" i="5"/>
  <c r="I27" i="74"/>
  <c r="M27" i="1"/>
  <c r="L27" i="1"/>
  <c r="G27" i="74"/>
  <c r="F27" i="74"/>
  <c r="D27" i="74"/>
  <c r="C27" i="74"/>
  <c r="M27" i="74" l="1"/>
  <c r="L27" i="74"/>
  <c r="M27" i="8"/>
  <c r="L27" i="8"/>
  <c r="D41" i="9" l="1"/>
  <c r="L29" i="24"/>
  <c r="B29" i="24" s="1"/>
  <c r="M29" i="24"/>
  <c r="C29" i="24" s="1"/>
  <c r="N29" i="24"/>
  <c r="D29" i="24" s="1"/>
  <c r="O29" i="24"/>
  <c r="E29" i="24" s="1"/>
  <c r="P29" i="24"/>
  <c r="L30" i="24"/>
  <c r="B30" i="24" s="1"/>
  <c r="M30" i="24"/>
  <c r="C30" i="24" s="1"/>
  <c r="N30" i="24"/>
  <c r="D30" i="24" s="1"/>
  <c r="O30" i="24"/>
  <c r="E30" i="24" s="1"/>
  <c r="P30" i="24"/>
  <c r="K42" i="5"/>
  <c r="K42" i="6"/>
  <c r="K41" i="1"/>
  <c r="K41" i="6"/>
  <c r="K41" i="7"/>
  <c r="M41" i="7" s="1"/>
  <c r="K43" i="5"/>
  <c r="K43" i="7"/>
  <c r="K43" i="1"/>
  <c r="F30" i="24" l="1"/>
  <c r="F29" i="24"/>
  <c r="H29" i="24" s="1"/>
  <c r="H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E41" i="9"/>
  <c r="E41" i="6"/>
  <c r="P41" i="24"/>
  <c r="O41" i="24"/>
  <c r="N41" i="24"/>
  <c r="M41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R29" i="24"/>
  <c r="H41" i="8" s="1"/>
  <c r="R30" i="24"/>
  <c r="H40" i="8" s="1"/>
  <c r="R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L31" i="24"/>
  <c r="M31" i="24"/>
  <c r="N31" i="24"/>
  <c r="O31" i="24"/>
  <c r="P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L41" i="24"/>
  <c r="I42" i="8"/>
  <c r="E42" i="9" l="1"/>
  <c r="H44" i="76"/>
  <c r="E44" i="76"/>
  <c r="G41" i="8"/>
  <c r="F40" i="8"/>
  <c r="F41" i="8"/>
  <c r="C15" i="74"/>
  <c r="C40" i="8"/>
  <c r="C18" i="74"/>
  <c r="E15" i="1"/>
  <c r="E19" i="1" s="1"/>
  <c r="H19" i="1"/>
  <c r="F12" i="74"/>
  <c r="C12" i="74"/>
  <c r="I12" i="74"/>
  <c r="D12" i="74"/>
  <c r="M26" i="6"/>
  <c r="M11" i="7"/>
  <c r="E28" i="1"/>
  <c r="E28" i="74" s="1"/>
  <c r="E27" i="1"/>
  <c r="E27" i="74" s="1"/>
  <c r="R41" i="24"/>
  <c r="M25" i="5"/>
  <c r="L29" i="1"/>
  <c r="M14" i="5"/>
  <c r="L18" i="6"/>
  <c r="M23" i="5"/>
  <c r="M15" i="1"/>
  <c r="M12" i="1"/>
  <c r="M12" i="9"/>
  <c r="L17" i="9"/>
  <c r="R31" i="24"/>
  <c r="L17" i="5"/>
  <c r="H44" i="6"/>
  <c r="M15" i="6"/>
  <c r="L23" i="9"/>
  <c r="D40" i="8"/>
  <c r="C41" i="8"/>
  <c r="D42" i="8"/>
  <c r="D41" i="8"/>
  <c r="C42" i="8"/>
  <c r="K16" i="74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74"/>
  <c r="I26" i="74"/>
  <c r="J25" i="74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74"/>
  <c r="K30" i="6"/>
  <c r="K30" i="5"/>
  <c r="H30" i="5"/>
  <c r="L26" i="6"/>
  <c r="M26" i="5"/>
  <c r="K22" i="74"/>
  <c r="M25" i="1"/>
  <c r="M22" i="5"/>
  <c r="M28" i="6"/>
  <c r="M29" i="7"/>
  <c r="M25" i="9"/>
  <c r="M24" i="7"/>
  <c r="M23" i="6"/>
  <c r="M21" i="6"/>
  <c r="K26" i="74"/>
  <c r="M43" i="6"/>
  <c r="L23" i="7"/>
  <c r="I19" i="9"/>
  <c r="H26" i="74"/>
  <c r="M42" i="7"/>
  <c r="L42" i="1"/>
  <c r="I28" i="74"/>
  <c r="G22" i="74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74"/>
  <c r="H14" i="74"/>
  <c r="L24" i="7"/>
  <c r="J30" i="7"/>
  <c r="D19" i="5"/>
  <c r="F11" i="74"/>
  <c r="L41" i="8"/>
  <c r="H30" i="9"/>
  <c r="H19" i="5"/>
  <c r="H22" i="74"/>
  <c r="G29" i="74"/>
  <c r="D29" i="74"/>
  <c r="D28" i="74"/>
  <c r="J24" i="74"/>
  <c r="G24" i="74"/>
  <c r="F23" i="74"/>
  <c r="C23" i="74"/>
  <c r="J22" i="74"/>
  <c r="F22" i="74"/>
  <c r="C22" i="74"/>
  <c r="J21" i="74"/>
  <c r="H29" i="74"/>
  <c r="J17" i="74"/>
  <c r="F17" i="74"/>
  <c r="F16" i="74"/>
  <c r="D16" i="74"/>
  <c r="F15" i="74"/>
  <c r="F14" i="74"/>
  <c r="F24" i="74"/>
  <c r="L29" i="7"/>
  <c r="F30" i="7"/>
  <c r="H43" i="8"/>
  <c r="L28" i="1"/>
  <c r="L23" i="1"/>
  <c r="H44" i="5"/>
  <c r="L41" i="6"/>
  <c r="C19" i="7"/>
  <c r="L11" i="9"/>
  <c r="I14" i="74"/>
  <c r="C44" i="7"/>
  <c r="C44" i="5"/>
  <c r="L43" i="1"/>
  <c r="K19" i="9"/>
  <c r="E29" i="1"/>
  <c r="E29" i="74" s="1"/>
  <c r="L28" i="5"/>
  <c r="H44" i="7"/>
  <c r="K19" i="6"/>
  <c r="L42" i="7"/>
  <c r="K19" i="1"/>
  <c r="M19" i="1" s="1"/>
  <c r="K12" i="74"/>
  <c r="K23" i="74"/>
  <c r="K15" i="74"/>
  <c r="G19" i="6"/>
  <c r="D15" i="74"/>
  <c r="M14" i="6"/>
  <c r="M16" i="9"/>
  <c r="M18" i="9"/>
  <c r="D23" i="74"/>
  <c r="F30" i="6"/>
  <c r="C30" i="6"/>
  <c r="C14" i="74"/>
  <c r="I24" i="74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74"/>
  <c r="M11" i="9"/>
  <c r="M15" i="5"/>
  <c r="M12" i="5"/>
  <c r="M11" i="6"/>
  <c r="E22" i="74"/>
  <c r="H19" i="6"/>
  <c r="J44" i="7"/>
  <c r="L15" i="6"/>
  <c r="L15" i="1"/>
  <c r="H24" i="74"/>
  <c r="M26" i="1"/>
  <c r="I19" i="6"/>
  <c r="M22" i="6"/>
  <c r="H12" i="74"/>
  <c r="K11" i="74"/>
  <c r="H30" i="7"/>
  <c r="M41" i="5"/>
  <c r="L22" i="7"/>
  <c r="M14" i="1"/>
  <c r="C28" i="74"/>
  <c r="G26" i="74"/>
  <c r="C29" i="74"/>
  <c r="M24" i="1"/>
  <c r="G23" i="74"/>
  <c r="I21" i="74"/>
  <c r="H25" i="74"/>
  <c r="H23" i="74"/>
  <c r="C21" i="74"/>
  <c r="G16" i="74"/>
  <c r="H16" i="74"/>
  <c r="J14" i="74"/>
  <c r="J12" i="74"/>
  <c r="G12" i="74"/>
  <c r="J11" i="74"/>
  <c r="C11" i="74"/>
  <c r="L41" i="5"/>
  <c r="M28" i="5"/>
  <c r="E16" i="74"/>
  <c r="M24" i="6"/>
  <c r="H21" i="74"/>
  <c r="H17" i="74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74"/>
  <c r="L22" i="9"/>
  <c r="K17" i="74"/>
  <c r="G15" i="74"/>
  <c r="D19" i="6"/>
  <c r="D30" i="5"/>
  <c r="D30" i="6"/>
  <c r="D19" i="7"/>
  <c r="D30" i="9"/>
  <c r="L14" i="6"/>
  <c r="I30" i="7"/>
  <c r="I19" i="5"/>
  <c r="L23" i="5"/>
  <c r="L11" i="5"/>
  <c r="I17" i="74"/>
  <c r="I29" i="74"/>
  <c r="F30" i="1"/>
  <c r="F28" i="74"/>
  <c r="F26" i="74"/>
  <c r="F21" i="74"/>
  <c r="F25" i="74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74"/>
  <c r="E21" i="6"/>
  <c r="E30" i="6" s="1"/>
  <c r="F29" i="74"/>
  <c r="D25" i="74"/>
  <c r="E25" i="74"/>
  <c r="D18" i="74"/>
  <c r="F18" i="74"/>
  <c r="C17" i="74"/>
  <c r="E17" i="6"/>
  <c r="E17" i="74" s="1"/>
  <c r="E12" i="74"/>
  <c r="E19" i="7"/>
  <c r="M26" i="7"/>
  <c r="M25" i="6"/>
  <c r="M22" i="9"/>
  <c r="E11" i="9"/>
  <c r="E11" i="74" s="1"/>
  <c r="L16" i="5"/>
  <c r="C30" i="1"/>
  <c r="M16" i="5"/>
  <c r="D22" i="74"/>
  <c r="I25" i="74"/>
  <c r="J19" i="6"/>
  <c r="M29" i="5"/>
  <c r="M17" i="7"/>
  <c r="D11" i="74"/>
  <c r="J23" i="74"/>
  <c r="H11" i="74"/>
  <c r="L12" i="9"/>
  <c r="F30" i="5"/>
  <c r="G28" i="74"/>
  <c r="J26" i="74"/>
  <c r="D26" i="74"/>
  <c r="C24" i="74"/>
  <c r="D17" i="74"/>
  <c r="G14" i="74"/>
  <c r="G11" i="74"/>
  <c r="L25" i="5"/>
  <c r="I22" i="74"/>
  <c r="E24" i="74"/>
  <c r="L11" i="6"/>
  <c r="L11" i="7"/>
  <c r="H44" i="9"/>
  <c r="L14" i="9"/>
  <c r="G44" i="9"/>
  <c r="K25" i="74"/>
  <c r="K19" i="5"/>
  <c r="K30" i="9"/>
  <c r="L15" i="7"/>
  <c r="E18" i="74"/>
  <c r="F19" i="1"/>
  <c r="J28" i="74"/>
  <c r="L24" i="9"/>
  <c r="J30" i="9"/>
  <c r="I30" i="5"/>
  <c r="G25" i="74"/>
  <c r="C25" i="74"/>
  <c r="D24" i="74"/>
  <c r="G21" i="74"/>
  <c r="G18" i="74"/>
  <c r="C16" i="74"/>
  <c r="D14" i="74"/>
  <c r="L43" i="5"/>
  <c r="L16" i="7"/>
  <c r="L29" i="9"/>
  <c r="M26" i="9"/>
  <c r="K14" i="74"/>
  <c r="K24" i="74"/>
  <c r="K29" i="74"/>
  <c r="I30" i="6"/>
  <c r="C26" i="74"/>
  <c r="J30" i="1"/>
  <c r="J30" i="5"/>
  <c r="J30" i="6"/>
  <c r="J16" i="74"/>
  <c r="L26" i="1"/>
  <c r="J29" i="74"/>
  <c r="J18" i="74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74"/>
  <c r="L24" i="6"/>
  <c r="L21" i="7"/>
  <c r="L25" i="9"/>
  <c r="M14" i="7"/>
  <c r="M11" i="1"/>
  <c r="L17" i="6"/>
  <c r="I15" i="74"/>
  <c r="I18" i="74"/>
  <c r="M17" i="1"/>
  <c r="I11" i="74"/>
  <c r="L15" i="9"/>
  <c r="L12" i="7"/>
  <c r="I16" i="74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74"/>
  <c r="E26" i="74"/>
  <c r="E30" i="9"/>
  <c r="E15" i="74"/>
  <c r="E14" i="74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74"/>
  <c r="G30" i="9"/>
  <c r="D21" i="74"/>
  <c r="D19" i="1"/>
  <c r="H19" i="74" l="1"/>
  <c r="E19" i="74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E44" i="1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H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<sst xmlns="http://schemas.openxmlformats.org/spreadsheetml/2006/main" count="3905" uniqueCount="235">
  <si>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</si>
  <si>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</si>
  <si>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</si>
  <si>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</si>
  <si>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</si>
  <si>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</si>
  <si>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</si>
  <si>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</si>
  <si>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</si>
  <si>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</si>
  <si>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</si>
  <si>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</si>
  <si>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</si>
  <si>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</si>
  <si>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</si>
  <si>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</si>
  <si>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</si>
  <si>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</si>
  <si>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</si>
  <si>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</si>
  <si>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</si>
  <si>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</si>
  <si>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</si>
  <si>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</si>
  <si>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</si>
  <si>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</si>
  <si>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</si>
  <si>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</si>
  <si>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</si>
  <si>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</si>
  <si>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</si>
  <si>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</si>
  <si>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</si>
  <si>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</si>
  <si>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</si>
  <si>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</si>
  <si>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</si>
  <si>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</si>
  <si>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</si>
  <si>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</si>
  <si>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</si>
  <si>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</si>
  <si>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</si>
  <si>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</si>
  <si>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</si>
  <si>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</si>
  <si>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</si>
  <si>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</si>
  <si>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</si>
  <si>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</si>
  <si>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</si>
  <si>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</si>
  <si>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</si>
  <si>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</si>
  <si>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</si>
  <si>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</si>
  <si>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</si>
  <si>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</si>
  <si>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</si>
  <si>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</si>
  <si>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</si>
  <si>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</si>
  <si>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</si>
  <si>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</si>
  <si>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</si>
  <si>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</si>
  <si>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</si>
  <si>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</si>
  <si>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</si>
  <si>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</si>
  <si>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</si>
  <si>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</si>
  <si>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</si>
  <si>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</si>
  <si>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</si>
  <si>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</si>
  <si>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</si>
  <si>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</si>
  <si>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</si>
  <si>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</si>
  <si>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</si>
  <si>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</si>
  <si>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</si>
  <si>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</si>
  <si>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</si>
  <si>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</si>
  <si>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</si>
  <si>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</si>
  <si>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</si>
  <si>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</si>
  <si>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</si>
  <si>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</si>
  <si>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</si>
  <si>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</si>
  <si>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</si>
  <si>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</si>
  <si>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</si>
  <si>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</si>
  <si>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</si>
  <si>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</si>
  <si>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</si>
  <si>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</si>
  <si>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</si>
  <si>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</si>
  <si>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</si>
  <si>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</si>
  <si>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</si>
  <si>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</si>
  <si>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</si>
  <si>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</si>
  <si>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</si>
  <si>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</si>
  <si>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</si>
  <si>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</si>
  <si>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</si>
  <si>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</si>
  <si>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</si>
  <si>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</si>
  <si>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</si>
  <si>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</si>
  <si>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</si>
  <si>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</si>
  <si>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</si>
  <si>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</si>
  <si>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</si>
  <si>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</si>
  <si>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</si>
  <si>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</si>
  <si>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</si>
  <si>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</si>
  <si>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</si>
  <si>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</si>
  <si>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</si>
  <si>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</si>
  <si>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</si>
  <si>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</si>
  <si>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</si>
  <si>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</si>
  <si>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</si>
  <si>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</si>
  <si>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</si>
  <si>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</si>
  <si>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</si>
  <si>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</si>
  <si>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</si>
  <si>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</si>
  <si>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</si>
  <si>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</si>
  <si>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</si>
  <si>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</si>
  <si>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</si>
  <si>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</si>
  <si>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</si>
  <si>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</si>
  <si>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</si>
  <si>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</si>
  <si>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</si>
  <si>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</si>
  <si>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</si>
  <si>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</si>
  <si>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</si>
  <si>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</si>
  <si>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</si>
  <si>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</si>
  <si>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</si>
  <si>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</si>
  <si>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</si>
  <si>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</si>
  <si>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</si>
  <si>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</si>
  <si>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</si>
  <si>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</si>
  <si>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</si>
  <si>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</si>
  <si>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</si>
  <si>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</si>
  <si>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</si>
  <si>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</si>
  <si>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</si>
  <si>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</si>
  <si>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</si>
  <si>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</si>
  <si>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</si>
  <si>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</si>
  <si>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</si>
  <si>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</si>
  <si>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</si>
  <si>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</si>
  <si>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</si>
  <si>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</si>
  <si>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</si>
  <si>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</si>
  <si>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</si>
  <si>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</si>
  <si>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</si>
  <si>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</si>
  <si>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</si>
  <si>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</si>
  <si>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</si>
  <si>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</si>
  <si>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</si>
  <si>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</si>
  <si>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</si>
  <si>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</si>
  <si>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</si>
  <si>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</si>
  <si>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</si>
  <si>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</si>
  <si>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</si>
  <si>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</si>
  <si>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</si>
  <si>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</si>
  <si>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</si>
  <si>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</si>
  <si>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</si>
  <si>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</si>
  <si>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</si>
  <si>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</si>
  <si>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</si>
  <si>
    <t>On this tab, only include rapes with Stat Codes 1104, 1105, 1106, 1107, 1108, 1109, 1110, 1111, 1112, 1113, 1114, 1115, and 1118</t>
  </si>
  <si>
    <t>04/08/17</t>
  </si>
  <si>
    <t>04/15/17</t>
  </si>
  <si>
    <t>04/22/17</t>
  </si>
  <si>
    <t xml:space="preserve">  LT. TORRENCE GARVIN</t>
  </si>
  <si>
    <t>WHITEFIELD PRECINCT</t>
  </si>
  <si>
    <t>BEAT 61</t>
  </si>
  <si>
    <t>Whitefield Precinct</t>
  </si>
  <si>
    <t>BEAT 62</t>
  </si>
  <si>
    <t>Whitefield</t>
  </si>
  <si>
    <t>2016 Wkly Average</t>
  </si>
  <si>
    <t>2016 Annual Total</t>
  </si>
  <si>
    <t>2016 28 day Average</t>
  </si>
  <si>
    <t>Week Ending 04/29/17</t>
  </si>
  <si>
    <t>04/29/17</t>
  </si>
  <si>
    <t xml:space="preserve"> 04/29/17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</si>
</sst>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1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7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13" fillId="0" borderId="0"/>
    <xf numFmtId="0" fontId="28" fillId="0" borderId="0">
      <alignment vertical="top"/>
    </xf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" fillId="0" borderId="0"/>
  </cellStyleXfs>
  <cellXfs count="65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0" fillId="0" borderId="5" xfId="0" applyBorder="1"/>
    <xf numFmtId="0" fontId="15" fillId="0" borderId="7" xfId="0" applyFont="1" applyBorder="1" applyAlignment="1">
      <alignment horizontal="center"/>
    </xf>
    <xf numFmtId="0" fontId="15" fillId="0" borderId="8" xfId="0" applyFont="1" applyBorder="1"/>
    <xf numFmtId="0" fontId="15" fillId="0" borderId="9" xfId="0" applyFont="1" applyBorder="1"/>
    <xf numFmtId="0" fontId="16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6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5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  <xf numFmtId="0" fontId="16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5" fillId="0" borderId="27" xfId="0" applyNumberFormat="1" applyFont="1" applyBorder="1" applyAlignment="1">
      <alignment horizontal="center"/>
    </xf>
    <xf numFmtId="1" fontId="15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1" fontId="15" fillId="2" borderId="32" xfId="0" applyNumberFormat="1" applyFont="1" applyFill="1" applyBorder="1" applyAlignment="1">
      <alignment horizontal="center"/>
    </xf>
    <xf numFmtId="1" fontId="15" fillId="2" borderId="33" xfId="0" applyNumberFormat="1" applyFont="1" applyFill="1" applyBorder="1" applyAlignment="1">
      <alignment horizontal="center"/>
    </xf>
    <xf numFmtId="1" fontId="17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4" fillId="2" borderId="34" xfId="0" applyNumberFormat="1" applyFont="1" applyFill="1" applyBorder="1" applyAlignment="1">
      <alignment horizontal="center"/>
    </xf>
    <xf numFmtId="9" fontId="14" fillId="2" borderId="1" xfId="0" applyNumberFormat="1" applyFont="1" applyFill="1" applyBorder="1" applyAlignment="1">
      <alignment horizontal="right"/>
    </xf>
    <xf numFmtId="9" fontId="14" fillId="2" borderId="34" xfId="0" applyNumberFormat="1" applyFont="1" applyFill="1" applyBorder="1" applyAlignment="1">
      <alignment horizontal="right"/>
    </xf>
    <xf numFmtId="1" fontId="14" fillId="2" borderId="35" xfId="0" applyNumberFormat="1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1" fontId="14" fillId="3" borderId="20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1" fontId="19" fillId="2" borderId="35" xfId="0" applyNumberFormat="1" applyFont="1" applyFill="1" applyBorder="1" applyAlignment="1">
      <alignment horizontal="center"/>
    </xf>
    <xf numFmtId="1" fontId="19" fillId="2" borderId="34" xfId="0" applyNumberFormat="1" applyFont="1" applyFill="1" applyBorder="1" applyAlignment="1">
      <alignment horizontal="center"/>
    </xf>
    <xf numFmtId="0" fontId="19" fillId="3" borderId="20" xfId="0" applyFont="1" applyFill="1" applyBorder="1" applyAlignment="1">
      <alignment horizontal="center"/>
    </xf>
    <xf numFmtId="1" fontId="19" fillId="3" borderId="20" xfId="0" applyNumberFormat="1" applyFont="1" applyFill="1" applyBorder="1" applyAlignment="1">
      <alignment horizontal="center"/>
    </xf>
    <xf numFmtId="9" fontId="19" fillId="2" borderId="1" xfId="0" applyNumberFormat="1" applyFont="1" applyFill="1" applyBorder="1" applyAlignment="1">
      <alignment horizontal="right"/>
    </xf>
    <xf numFmtId="9" fontId="19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1" fontId="14" fillId="2" borderId="22" xfId="0" applyNumberFormat="1" applyFont="1" applyFill="1" applyBorder="1" applyAlignment="1">
      <alignment horizontal="center"/>
    </xf>
    <xf numFmtId="0" fontId="15" fillId="0" borderId="0" xfId="0" applyFont="1"/>
    <xf numFmtId="0" fontId="20" fillId="0" borderId="0" xfId="0" applyFont="1" applyAlignment="1">
      <alignment horizontal="left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5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9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5" fillId="0" borderId="6" xfId="0" quotePrefix="1" applyNumberFormat="1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49" fontId="15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5" fillId="0" borderId="60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1" fontId="15" fillId="0" borderId="67" xfId="0" applyNumberFormat="1" applyFont="1" applyBorder="1" applyAlignment="1">
      <alignment horizontal="center"/>
    </xf>
    <xf numFmtId="1" fontId="15" fillId="0" borderId="4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2" borderId="39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5" fillId="2" borderId="65" xfId="0" applyFont="1" applyFill="1" applyBorder="1" applyAlignment="1">
      <alignment horizontal="center"/>
    </xf>
    <xf numFmtId="1" fontId="15" fillId="2" borderId="70" xfId="0" applyNumberFormat="1" applyFont="1" applyFill="1" applyBorder="1" applyAlignment="1">
      <alignment horizontal="center"/>
    </xf>
    <xf numFmtId="0" fontId="15" fillId="0" borderId="71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/>
    <xf numFmtId="0" fontId="14" fillId="0" borderId="42" xfId="0" applyFont="1" applyBorder="1" applyAlignment="1">
      <alignment horizontal="right"/>
    </xf>
    <xf numFmtId="0" fontId="14" fillId="0" borderId="43" xfId="0" applyFont="1" applyBorder="1" applyAlignment="1">
      <alignment horizontal="right"/>
    </xf>
    <xf numFmtId="0" fontId="14" fillId="0" borderId="56" xfId="0" applyFont="1" applyBorder="1" applyAlignment="1">
      <alignment horizontal="right"/>
    </xf>
    <xf numFmtId="0" fontId="14" fillId="0" borderId="47" xfId="0" applyFont="1" applyBorder="1" applyAlignment="1">
      <alignment horizontal="right"/>
    </xf>
    <xf numFmtId="0" fontId="14" fillId="0" borderId="48" xfId="0" applyFont="1" applyBorder="1" applyAlignment="1">
      <alignment horizontal="right"/>
    </xf>
    <xf numFmtId="0" fontId="14" fillId="0" borderId="44" xfId="0" applyFont="1" applyBorder="1" applyAlignment="1">
      <alignment horizontal="right"/>
    </xf>
    <xf numFmtId="0" fontId="14" fillId="0" borderId="46" xfId="0" applyFont="1" applyBorder="1" applyAlignment="1">
      <alignment horizontal="right"/>
    </xf>
    <xf numFmtId="0" fontId="15" fillId="0" borderId="25" xfId="0" applyFont="1" applyBorder="1"/>
    <xf numFmtId="0" fontId="15" fillId="0" borderId="1" xfId="0" applyFont="1" applyBorder="1"/>
    <xf numFmtId="0" fontId="15" fillId="0" borderId="0" xfId="0" applyFont="1" applyAlignment="1">
      <alignment horizontal="right"/>
    </xf>
    <xf numFmtId="0" fontId="15" fillId="0" borderId="26" xfId="0" applyFont="1" applyBorder="1"/>
    <xf numFmtId="0" fontId="14" fillId="0" borderId="0" xfId="0" applyFont="1" applyAlignment="1">
      <alignment horizontal="left"/>
    </xf>
    <xf numFmtId="0" fontId="14" fillId="0" borderId="41" xfId="0" applyFont="1" applyBorder="1"/>
    <xf numFmtId="0" fontId="14" fillId="0" borderId="41" xfId="0" applyFont="1" applyBorder="1" applyAlignment="1">
      <alignment horizontal="right"/>
    </xf>
    <xf numFmtId="0" fontId="14" fillId="0" borderId="42" xfId="0" applyFont="1" applyBorder="1"/>
    <xf numFmtId="0" fontId="14" fillId="0" borderId="43" xfId="0" applyFont="1" applyBorder="1"/>
    <xf numFmtId="0" fontId="14" fillId="0" borderId="46" xfId="0" applyFont="1" applyBorder="1"/>
    <xf numFmtId="0" fontId="14" fillId="0" borderId="47" xfId="0" applyFont="1" applyBorder="1"/>
    <xf numFmtId="0" fontId="14" fillId="0" borderId="48" xfId="0" applyFont="1" applyBorder="1"/>
    <xf numFmtId="0" fontId="14" fillId="0" borderId="44" xfId="0" applyFont="1" applyBorder="1"/>
    <xf numFmtId="0" fontId="15" fillId="0" borderId="4" xfId="0" applyFont="1" applyBorder="1"/>
    <xf numFmtId="3" fontId="14" fillId="6" borderId="0" xfId="0" applyNumberFormat="1" applyFont="1" applyFill="1"/>
    <xf numFmtId="3" fontId="21" fillId="6" borderId="0" xfId="0" applyNumberFormat="1" applyFont="1" applyFill="1" applyAlignment="1">
      <alignment vertical="top"/>
    </xf>
    <xf numFmtId="3" fontId="15" fillId="0" borderId="45" xfId="0" applyNumberFormat="1" applyFont="1" applyBorder="1" applyAlignment="1">
      <alignment horizontal="right"/>
    </xf>
    <xf numFmtId="3" fontId="14" fillId="6" borderId="57" xfId="0" applyNumberFormat="1" applyFont="1" applyFill="1" applyBorder="1"/>
    <xf numFmtId="3" fontId="14" fillId="6" borderId="58" xfId="0" applyNumberFormat="1" applyFont="1" applyFill="1" applyBorder="1"/>
    <xf numFmtId="3" fontId="21" fillId="6" borderId="59" xfId="0" applyNumberFormat="1" applyFont="1" applyFill="1" applyBorder="1" applyAlignment="1">
      <alignment vertical="top"/>
    </xf>
    <xf numFmtId="3" fontId="15" fillId="0" borderId="49" xfId="0" applyNumberFormat="1" applyFont="1" applyBorder="1" applyAlignment="1">
      <alignment horizontal="righ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/>
    <xf numFmtId="3" fontId="22" fillId="0" borderId="0" xfId="0" applyNumberFormat="1" applyFont="1" applyAlignment="1">
      <alignment vertical="top"/>
    </xf>
    <xf numFmtId="3" fontId="14" fillId="0" borderId="0" xfId="0" applyNumberFormat="1" applyFont="1"/>
    <xf numFmtId="3" fontId="15" fillId="0" borderId="0" xfId="0" applyNumberFormat="1" applyFont="1" applyFill="1" applyBorder="1"/>
    <xf numFmtId="0" fontId="15" fillId="0" borderId="58" xfId="0" applyFont="1" applyBorder="1" applyAlignment="1">
      <alignment horizontal="right"/>
    </xf>
    <xf numFmtId="0" fontId="22" fillId="0" borderId="58" xfId="0" applyFont="1" applyBorder="1" applyAlignment="1">
      <alignment horizontal="right"/>
    </xf>
    <xf numFmtId="3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 vertical="top"/>
    </xf>
    <xf numFmtId="0" fontId="14" fillId="0" borderId="50" xfId="0" applyFont="1" applyBorder="1" applyAlignment="1">
      <alignment horizontal="right"/>
    </xf>
    <xf numFmtId="1" fontId="14" fillId="5" borderId="50" xfId="0" applyNumberFormat="1" applyFont="1" applyFill="1" applyBorder="1" applyAlignment="1">
      <alignment horizontal="right"/>
    </xf>
    <xf numFmtId="1" fontId="15" fillId="5" borderId="65" xfId="0" applyNumberFormat="1" applyFont="1" applyFill="1" applyBorder="1" applyAlignment="1">
      <alignment horizontal="right"/>
    </xf>
    <xf numFmtId="1" fontId="15" fillId="0" borderId="62" xfId="0" applyNumberFormat="1" applyFont="1" applyBorder="1" applyAlignment="1">
      <alignment horizontal="right"/>
    </xf>
    <xf numFmtId="1" fontId="14" fillId="0" borderId="0" xfId="0" applyNumberFormat="1" applyFont="1"/>
    <xf numFmtId="1" fontId="15" fillId="0" borderId="4" xfId="0" applyNumberFormat="1" applyFont="1" applyBorder="1"/>
    <xf numFmtId="1" fontId="15" fillId="5" borderId="24" xfId="0" applyNumberFormat="1" applyFont="1" applyFill="1" applyBorder="1" applyAlignment="1">
      <alignment horizontal="right"/>
    </xf>
    <xf numFmtId="1" fontId="15" fillId="0" borderId="63" xfId="0" applyNumberFormat="1" applyFont="1" applyBorder="1" applyAlignment="1">
      <alignment horizontal="right"/>
    </xf>
    <xf numFmtId="1" fontId="15" fillId="0" borderId="25" xfId="0" applyNumberFormat="1" applyFont="1" applyBorder="1"/>
    <xf numFmtId="1" fontId="15" fillId="5" borderId="22" xfId="0" applyNumberFormat="1" applyFont="1" applyFill="1" applyBorder="1" applyAlignment="1">
      <alignment horizontal="right"/>
    </xf>
    <xf numFmtId="1" fontId="15" fillId="0" borderId="59" xfId="0" applyNumberFormat="1" applyFont="1" applyBorder="1" applyAlignment="1">
      <alignment horizontal="right"/>
    </xf>
    <xf numFmtId="1" fontId="15" fillId="0" borderId="1" xfId="0" applyNumberFormat="1" applyFont="1" applyBorder="1"/>
    <xf numFmtId="1" fontId="15" fillId="0" borderId="0" xfId="0" applyNumberFormat="1" applyFont="1" applyAlignment="1">
      <alignment horizontal="right"/>
    </xf>
    <xf numFmtId="1" fontId="15" fillId="0" borderId="0" xfId="0" applyNumberFormat="1" applyFont="1" applyBorder="1" applyAlignment="1">
      <alignment horizontal="right"/>
    </xf>
    <xf numFmtId="1" fontId="15" fillId="0" borderId="0" xfId="0" applyNumberFormat="1" applyFont="1"/>
    <xf numFmtId="1" fontId="14" fillId="7" borderId="50" xfId="0" applyNumberFormat="1" applyFont="1" applyFill="1" applyBorder="1" applyAlignment="1">
      <alignment horizontal="right"/>
    </xf>
    <xf numFmtId="1" fontId="15" fillId="0" borderId="65" xfId="0" applyNumberFormat="1" applyFont="1" applyFill="1" applyBorder="1" applyAlignment="1">
      <alignment horizontal="right"/>
    </xf>
    <xf numFmtId="1" fontId="15" fillId="0" borderId="24" xfId="0" applyNumberFormat="1" applyFont="1" applyFill="1" applyBorder="1" applyAlignment="1">
      <alignment horizontal="right"/>
    </xf>
    <xf numFmtId="1" fontId="15" fillId="0" borderId="22" xfId="0" applyNumberFormat="1" applyFont="1" applyFill="1" applyBorder="1" applyAlignment="1">
      <alignment horizontal="right"/>
    </xf>
    <xf numFmtId="0" fontId="14" fillId="0" borderId="62" xfId="0" applyFont="1" applyBorder="1" applyAlignment="1">
      <alignment horizontal="right"/>
    </xf>
    <xf numFmtId="1" fontId="14" fillId="5" borderId="61" xfId="0" applyNumberFormat="1" applyFont="1" applyFill="1" applyBorder="1" applyAlignment="1">
      <alignment horizontal="right"/>
    </xf>
    <xf numFmtId="1" fontId="14" fillId="5" borderId="72" xfId="0" applyNumberFormat="1" applyFont="1" applyFill="1" applyBorder="1" applyAlignment="1">
      <alignment horizontal="right"/>
    </xf>
    <xf numFmtId="1" fontId="14" fillId="5" borderId="26" xfId="0" applyNumberFormat="1" applyFont="1" applyFill="1" applyBorder="1" applyAlignment="1">
      <alignment horizontal="right"/>
    </xf>
    <xf numFmtId="1" fontId="14" fillId="5" borderId="0" xfId="0" applyNumberFormat="1" applyFont="1" applyFill="1" applyBorder="1" applyAlignment="1">
      <alignment horizontal="right"/>
    </xf>
    <xf numFmtId="1" fontId="14" fillId="5" borderId="57" xfId="0" applyNumberFormat="1" applyFont="1" applyFill="1" applyBorder="1" applyAlignment="1">
      <alignment horizontal="right"/>
    </xf>
    <xf numFmtId="1" fontId="14" fillId="5" borderId="58" xfId="0" applyNumberFormat="1" applyFont="1" applyFill="1" applyBorder="1" applyAlignment="1">
      <alignment horizontal="right"/>
    </xf>
    <xf numFmtId="0" fontId="15" fillId="0" borderId="60" xfId="0" applyFont="1" applyBorder="1"/>
    <xf numFmtId="0" fontId="15" fillId="0" borderId="57" xfId="0" applyFont="1" applyBorder="1"/>
    <xf numFmtId="0" fontId="14" fillId="0" borderId="61" xfId="0" applyFont="1" applyBorder="1" applyAlignment="1">
      <alignment horizontal="right"/>
    </xf>
    <xf numFmtId="0" fontId="14" fillId="0" borderId="73" xfId="0" applyFont="1" applyBorder="1" applyAlignment="1">
      <alignment horizontal="right"/>
    </xf>
    <xf numFmtId="0" fontId="14" fillId="0" borderId="74" xfId="0" applyFont="1" applyBorder="1" applyAlignment="1">
      <alignment horizontal="right"/>
    </xf>
    <xf numFmtId="0" fontId="14" fillId="0" borderId="51" xfId="0" applyFont="1" applyBorder="1" applyAlignment="1">
      <alignment horizontal="right"/>
    </xf>
    <xf numFmtId="0" fontId="14" fillId="0" borderId="64" xfId="0" applyFont="1" applyBorder="1" applyAlignment="1">
      <alignment horizontal="right"/>
    </xf>
    <xf numFmtId="3" fontId="15" fillId="0" borderId="25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0" borderId="57" xfId="0" applyFont="1" applyBorder="1" applyAlignment="1">
      <alignment horizontal="right"/>
    </xf>
    <xf numFmtId="0" fontId="14" fillId="0" borderId="58" xfId="0" applyFont="1" applyBorder="1" applyAlignment="1">
      <alignment horizontal="right"/>
    </xf>
    <xf numFmtId="0" fontId="14" fillId="0" borderId="22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3" fontId="23" fillId="8" borderId="61" xfId="0" applyNumberFormat="1" applyFont="1" applyFill="1" applyBorder="1" applyAlignment="1">
      <alignment vertical="top"/>
    </xf>
    <xf numFmtId="3" fontId="23" fillId="8" borderId="72" xfId="0" applyNumberFormat="1" applyFont="1" applyFill="1" applyBorder="1" applyAlignment="1">
      <alignment vertical="top"/>
    </xf>
    <xf numFmtId="3" fontId="23" fillId="8" borderId="26" xfId="0" applyNumberFormat="1" applyFont="1" applyFill="1" applyBorder="1" applyAlignment="1">
      <alignment vertical="top"/>
    </xf>
    <xf numFmtId="3" fontId="23" fillId="8" borderId="0" xfId="0" applyNumberFormat="1" applyFont="1" applyFill="1" applyBorder="1" applyAlignment="1">
      <alignment vertical="top"/>
    </xf>
    <xf numFmtId="3" fontId="23" fillId="8" borderId="57" xfId="0" applyNumberFormat="1" applyFont="1" applyFill="1" applyBorder="1" applyAlignment="1">
      <alignment vertical="top"/>
    </xf>
    <xf numFmtId="3" fontId="23" fillId="8" borderId="58" xfId="0" applyNumberFormat="1" applyFont="1" applyFill="1" applyBorder="1" applyAlignment="1">
      <alignment vertical="top"/>
    </xf>
    <xf numFmtId="3" fontId="21" fillId="8" borderId="58" xfId="0" applyNumberFormat="1" applyFont="1" applyFill="1" applyBorder="1" applyAlignment="1">
      <alignment vertical="top"/>
    </xf>
    <xf numFmtId="3" fontId="23" fillId="0" borderId="65" xfId="0" applyNumberFormat="1" applyFont="1" applyBorder="1" applyAlignment="1">
      <alignment vertical="top"/>
    </xf>
    <xf numFmtId="3" fontId="23" fillId="0" borderId="24" xfId="0" applyNumberFormat="1" applyFont="1" applyBorder="1" applyAlignment="1">
      <alignment vertical="top"/>
    </xf>
    <xf numFmtId="3" fontId="23" fillId="0" borderId="22" xfId="0" applyNumberFormat="1" applyFont="1" applyBorder="1" applyAlignment="1">
      <alignment vertical="top"/>
    </xf>
    <xf numFmtId="3" fontId="21" fillId="8" borderId="0" xfId="0" applyNumberFormat="1" applyFont="1" applyFill="1" applyBorder="1" applyAlignment="1">
      <alignment vertical="top"/>
    </xf>
    <xf numFmtId="3" fontId="21" fillId="8" borderId="61" xfId="0" applyNumberFormat="1" applyFont="1" applyFill="1" applyBorder="1" applyAlignment="1">
      <alignment vertical="top"/>
    </xf>
    <xf numFmtId="3" fontId="21" fillId="8" borderId="72" xfId="0" applyNumberFormat="1" applyFont="1" applyFill="1" applyBorder="1" applyAlignment="1">
      <alignment vertical="top"/>
    </xf>
    <xf numFmtId="3" fontId="21" fillId="8" borderId="26" xfId="0" applyNumberFormat="1" applyFont="1" applyFill="1" applyBorder="1" applyAlignment="1">
      <alignment vertical="top"/>
    </xf>
    <xf numFmtId="3" fontId="21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4" fillId="3" borderId="21" xfId="0" applyFont="1" applyFill="1" applyBorder="1"/>
    <xf numFmtId="1" fontId="14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8" fillId="0" borderId="0" xfId="0" applyFont="1" applyAlignment="1" applyProtection="1">
      <alignment horizontal="left"/>
    </xf>
    <xf numFmtId="0" fontId="16" fillId="0" borderId="0" xfId="0" applyFont="1" applyAlignment="1" applyProtection="1">
      <alignment horizontal="left"/>
    </xf>
    <xf numFmtId="1" fontId="15" fillId="0" borderId="0" xfId="0" applyNumberFormat="1" applyFont="1" applyAlignment="1" applyProtection="1"/>
    <xf numFmtId="0" fontId="15" fillId="0" borderId="0" xfId="0" applyFont="1" applyAlignment="1" applyProtection="1">
      <alignment horizontal="left"/>
    </xf>
    <xf numFmtId="0" fontId="20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6" fillId="0" borderId="2" xfId="0" applyFont="1" applyBorder="1" applyAlignment="1" applyProtection="1">
      <alignment horizontal="center"/>
    </xf>
    <xf numFmtId="0" fontId="15" fillId="0" borderId="3" xfId="0" applyFont="1" applyBorder="1" applyAlignment="1" applyProtection="1">
      <alignment horizontal="center"/>
    </xf>
    <xf numFmtId="1" fontId="15" fillId="0" borderId="27" xfId="0" applyNumberFormat="1" applyFont="1" applyBorder="1" applyAlignment="1" applyProtection="1">
      <alignment horizontal="center"/>
    </xf>
    <xf numFmtId="0" fontId="15" fillId="0" borderId="3" xfId="0" applyFont="1" applyFill="1" applyBorder="1" applyAlignment="1" applyProtection="1">
      <alignment horizontal="center"/>
    </xf>
    <xf numFmtId="0" fontId="15" fillId="0" borderId="60" xfId="0" applyFont="1" applyFill="1" applyBorder="1" applyAlignment="1" applyProtection="1">
      <alignment horizontal="center"/>
    </xf>
    <xf numFmtId="1" fontId="15" fillId="0" borderId="4" xfId="0" applyNumberFormat="1" applyFont="1" applyFill="1" applyBorder="1" applyAlignment="1" applyProtection="1">
      <alignment horizontal="center"/>
    </xf>
    <xf numFmtId="0" fontId="15" fillId="2" borderId="3" xfId="0" applyFont="1" applyFill="1" applyBorder="1" applyAlignment="1" applyProtection="1">
      <alignment horizontal="center"/>
    </xf>
    <xf numFmtId="1" fontId="15" fillId="2" borderId="15" xfId="0" applyNumberFormat="1" applyFont="1" applyFill="1" applyBorder="1" applyAlignment="1" applyProtection="1">
      <alignment horizontal="center"/>
    </xf>
    <xf numFmtId="0" fontId="16" fillId="0" borderId="23" xfId="0" applyFont="1" applyBorder="1" applyAlignment="1" applyProtection="1">
      <alignment horizontal="center"/>
    </xf>
    <xf numFmtId="0" fontId="15" fillId="0" borderId="24" xfId="0" applyFont="1" applyBorder="1" applyAlignment="1" applyProtection="1">
      <alignment horizontal="center"/>
    </xf>
    <xf numFmtId="1" fontId="15" fillId="0" borderId="28" xfId="0" applyNumberFormat="1" applyFont="1" applyBorder="1" applyAlignment="1" applyProtection="1">
      <alignment horizontal="center"/>
    </xf>
    <xf numFmtId="0" fontId="15" fillId="0" borderId="24" xfId="0" applyFont="1" applyFill="1" applyBorder="1" applyAlignment="1" applyProtection="1">
      <alignment horizontal="center"/>
    </xf>
    <xf numFmtId="0" fontId="15" fillId="0" borderId="26" xfId="0" applyFont="1" applyFill="1" applyBorder="1" applyAlignment="1" applyProtection="1">
      <alignment horizontal="center"/>
    </xf>
    <xf numFmtId="0" fontId="15" fillId="0" borderId="25" xfId="0" applyFont="1" applyFill="1" applyBorder="1" applyAlignment="1" applyProtection="1">
      <alignment horizontal="center"/>
    </xf>
    <xf numFmtId="0" fontId="15" fillId="2" borderId="0" xfId="0" applyFont="1" applyFill="1" applyBorder="1" applyAlignment="1" applyProtection="1">
      <alignment horizontal="center"/>
    </xf>
    <xf numFmtId="1" fontId="15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5" fillId="0" borderId="6" xfId="0" quotePrefix="1" applyNumberFormat="1" applyFont="1" applyBorder="1" applyAlignment="1" applyProtection="1">
      <alignment horizontal="center"/>
    </xf>
    <xf numFmtId="49" fontId="15" fillId="0" borderId="29" xfId="0" applyNumberFormat="1" applyFont="1" applyBorder="1" applyAlignment="1" applyProtection="1">
      <alignment horizontal="center"/>
    </xf>
    <xf numFmtId="165" fontId="15" fillId="0" borderId="7" xfId="0" applyNumberFormat="1" applyFont="1" applyBorder="1" applyAlignment="1" applyProtection="1">
      <alignment horizontal="center"/>
    </xf>
    <xf numFmtId="165" fontId="15" fillId="0" borderId="6" xfId="0" quotePrefix="1" applyNumberFormat="1" applyFont="1" applyFill="1" applyBorder="1" applyAlignment="1" applyProtection="1">
      <alignment horizontal="center"/>
    </xf>
    <xf numFmtId="0" fontId="15" fillId="0" borderId="7" xfId="0" applyFont="1" applyBorder="1" applyAlignment="1" applyProtection="1">
      <alignment horizontal="center"/>
    </xf>
    <xf numFmtId="49" fontId="15" fillId="0" borderId="6" xfId="0" applyNumberFormat="1" applyFont="1" applyBorder="1" applyAlignment="1" applyProtection="1">
      <alignment horizontal="center"/>
    </xf>
    <xf numFmtId="1" fontId="15" fillId="0" borderId="7" xfId="0" applyNumberFormat="1" applyFont="1" applyBorder="1" applyAlignment="1" applyProtection="1">
      <alignment horizontal="center"/>
    </xf>
    <xf numFmtId="0" fontId="15" fillId="2" borderId="7" xfId="0" applyFont="1" applyFill="1" applyBorder="1" applyAlignment="1" applyProtection="1">
      <alignment horizontal="center"/>
    </xf>
    <xf numFmtId="1" fontId="15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5" fillId="0" borderId="8" xfId="0" applyFont="1" applyBorder="1" applyProtection="1"/>
    <xf numFmtId="0" fontId="15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5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4" fillId="2" borderId="22" xfId="0" applyFont="1" applyFill="1" applyBorder="1" applyAlignment="1" applyProtection="1">
      <alignment horizontal="center"/>
    </xf>
    <xf numFmtId="1" fontId="14" fillId="2" borderId="35" xfId="0" applyNumberFormat="1" applyFont="1" applyFill="1" applyBorder="1" applyAlignment="1" applyProtection="1">
      <alignment horizontal="center"/>
    </xf>
    <xf numFmtId="0" fontId="15" fillId="0" borderId="9" xfId="0" applyFont="1" applyBorder="1" applyProtection="1"/>
    <xf numFmtId="1" fontId="14" fillId="2" borderId="34" xfId="0" applyNumberFormat="1" applyFont="1" applyFill="1" applyBorder="1" applyAlignment="1" applyProtection="1">
      <alignment horizontal="center"/>
    </xf>
    <xf numFmtId="0" fontId="16" fillId="2" borderId="10" xfId="0" applyFont="1" applyFill="1" applyBorder="1" applyProtection="1"/>
    <xf numFmtId="0" fontId="15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5" fillId="2" borderId="39" xfId="0" applyFont="1" applyFill="1" applyBorder="1" applyAlignment="1" applyProtection="1">
      <alignment horizontal="center"/>
    </xf>
    <xf numFmtId="9" fontId="14" fillId="2" borderId="22" xfId="0" applyNumberFormat="1" applyFont="1" applyFill="1" applyBorder="1" applyAlignment="1" applyProtection="1">
      <alignment horizontal="center"/>
    </xf>
    <xf numFmtId="9" fontId="14" fillId="2" borderId="34" xfId="0" applyNumberFormat="1" applyFont="1" applyFill="1" applyBorder="1" applyAlignment="1" applyProtection="1">
      <alignment horizontal="center"/>
    </xf>
    <xf numFmtId="0" fontId="15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4" fillId="3" borderId="20" xfId="0" applyFont="1" applyFill="1" applyBorder="1" applyAlignment="1" applyProtection="1">
      <alignment horizontal="center"/>
    </xf>
    <xf numFmtId="1" fontId="14" fillId="3" borderId="20" xfId="0" applyNumberFormat="1" applyFont="1" applyFill="1" applyBorder="1" applyAlignment="1" applyProtection="1">
      <alignment horizontal="center"/>
    </xf>
    <xf numFmtId="0" fontId="15" fillId="0" borderId="19" xfId="0" applyFont="1" applyBorder="1" applyProtection="1"/>
    <xf numFmtId="0" fontId="16" fillId="2" borderId="13" xfId="0" applyFont="1" applyFill="1" applyBorder="1" applyProtection="1"/>
    <xf numFmtId="0" fontId="15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5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5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7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4" fillId="0" borderId="52" xfId="0" applyNumberFormat="1" applyFont="1" applyBorder="1" applyAlignment="1" applyProtection="1">
      <alignment horizontal="center"/>
    </xf>
    <xf numFmtId="0" fontId="16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6" fillId="4" borderId="5" xfId="0" applyNumberFormat="1" applyFont="1" applyFill="1" applyBorder="1" applyAlignment="1" applyProtection="1">
      <alignment horizontal="center"/>
    </xf>
    <xf numFmtId="1" fontId="15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4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9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4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4" fillId="2" borderId="1" xfId="0" applyNumberFormat="1" applyFont="1" applyFill="1" applyBorder="1" applyAlignment="1" applyProtection="1">
      <alignment horizontal="right"/>
    </xf>
    <xf numFmtId="9" fontId="14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6" fillId="4" borderId="2" xfId="0" applyFont="1" applyFill="1" applyBorder="1" applyAlignment="1" applyProtection="1">
      <alignment horizontal="center"/>
    </xf>
    <xf numFmtId="0" fontId="15" fillId="0" borderId="4" xfId="0" applyFont="1" applyFill="1" applyBorder="1" applyAlignment="1" applyProtection="1">
      <alignment horizontal="center"/>
    </xf>
    <xf numFmtId="0" fontId="16" fillId="4" borderId="5" xfId="0" applyFont="1" applyFill="1" applyBorder="1" applyAlignment="1" applyProtection="1">
      <alignment horizontal="center"/>
    </xf>
    <xf numFmtId="1" fontId="15" fillId="0" borderId="0" xfId="0" applyNumberFormat="1" applyFont="1" applyAlignment="1"/>
    <xf numFmtId="0" fontId="0" fillId="0" borderId="0" xfId="0" applyAlignment="1">
      <alignment horizontal="center"/>
    </xf>
    <xf numFmtId="1" fontId="14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4" fillId="2" borderId="24" xfId="0" applyNumberFormat="1" applyFont="1" applyFill="1" applyBorder="1" applyAlignment="1">
      <alignment horizontal="center"/>
    </xf>
    <xf numFmtId="164" fontId="14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4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4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5" fillId="0" borderId="8" xfId="0" applyFont="1" applyBorder="1" applyAlignment="1" applyProtection="1">
      <alignment horizontal="left"/>
    </xf>
    <xf numFmtId="0" fontId="15" fillId="0" borderId="10" xfId="0" applyFont="1" applyBorder="1" applyAlignment="1" applyProtection="1">
      <alignment horizontal="left"/>
    </xf>
    <xf numFmtId="0" fontId="15" fillId="0" borderId="14" xfId="0" applyFont="1" applyFill="1" applyBorder="1" applyAlignment="1">
      <alignment horizontal="center"/>
    </xf>
    <xf numFmtId="0" fontId="15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5" fillId="0" borderId="14" xfId="0" applyFont="1" applyFill="1" applyBorder="1" applyAlignment="1" applyProtection="1">
      <alignment horizontal="center"/>
    </xf>
    <xf numFmtId="164" fontId="14" fillId="2" borderId="24" xfId="0" applyNumberFormat="1" applyFont="1" applyFill="1" applyBorder="1" applyAlignment="1" applyProtection="1">
      <alignment horizontal="center"/>
    </xf>
    <xf numFmtId="164" fontId="14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3" fillId="3" borderId="18" xfId="9" applyFill="1" applyBorder="1"/>
    <xf numFmtId="0" fontId="13" fillId="3" borderId="20" xfId="9" applyFill="1" applyBorder="1"/>
    <xf numFmtId="0" fontId="13" fillId="3" borderId="20" xfId="9" applyFill="1" applyBorder="1" applyAlignment="1">
      <alignment horizontal="center"/>
    </xf>
    <xf numFmtId="1" fontId="13" fillId="3" borderId="20" xfId="9" applyNumberFormat="1" applyFont="1" applyFill="1" applyBorder="1" applyAlignment="1">
      <alignment horizontal="center"/>
    </xf>
    <xf numFmtId="1" fontId="13" fillId="3" borderId="20" xfId="9" applyNumberFormat="1" applyFill="1" applyBorder="1" applyAlignment="1">
      <alignment horizontal="center"/>
    </xf>
    <xf numFmtId="0" fontId="13" fillId="3" borderId="15" xfId="9" applyFill="1" applyBorder="1"/>
    <xf numFmtId="0" fontId="13" fillId="0" borderId="0" xfId="9"/>
    <xf numFmtId="0" fontId="13" fillId="3" borderId="21" xfId="9" applyFill="1" applyBorder="1"/>
    <xf numFmtId="1" fontId="13" fillId="0" borderId="0" xfId="9" applyNumberFormat="1"/>
    <xf numFmtId="0" fontId="13" fillId="0" borderId="0" xfId="9" applyAlignment="1">
      <alignment horizontal="center"/>
    </xf>
    <xf numFmtId="1" fontId="13" fillId="0" borderId="0" xfId="9" applyNumberFormat="1" applyFont="1" applyAlignment="1">
      <alignment horizontal="center"/>
    </xf>
    <xf numFmtId="1" fontId="13" fillId="0" borderId="0" xfId="9" applyNumberFormat="1" applyAlignment="1">
      <alignment horizontal="center"/>
    </xf>
    <xf numFmtId="0" fontId="18" fillId="0" borderId="0" xfId="9" applyFont="1" applyAlignment="1">
      <alignment horizontal="left"/>
    </xf>
    <xf numFmtId="0" fontId="16" fillId="0" borderId="0" xfId="9" applyFont="1" applyAlignment="1">
      <alignment horizontal="left"/>
    </xf>
    <xf numFmtId="1" fontId="15" fillId="0" borderId="0" xfId="9" applyNumberFormat="1" applyFont="1" applyAlignment="1"/>
    <xf numFmtId="0" fontId="15" fillId="0" borderId="0" xfId="9" applyFont="1" applyAlignment="1">
      <alignment horizontal="center"/>
    </xf>
    <xf numFmtId="0" fontId="20" fillId="0" borderId="0" xfId="9" applyFont="1" applyAlignment="1">
      <alignment horizontal="left"/>
    </xf>
    <xf numFmtId="0" fontId="13" fillId="3" borderId="17" xfId="9" applyFill="1" applyBorder="1"/>
    <xf numFmtId="0" fontId="13" fillId="3" borderId="14" xfId="9" applyFill="1" applyBorder="1"/>
    <xf numFmtId="0" fontId="13" fillId="3" borderId="14" xfId="9" applyFill="1" applyBorder="1" applyAlignment="1">
      <alignment horizontal="center"/>
    </xf>
    <xf numFmtId="1" fontId="13" fillId="3" borderId="14" xfId="9" applyNumberFormat="1" applyFont="1" applyFill="1" applyBorder="1" applyAlignment="1">
      <alignment horizontal="center"/>
    </xf>
    <xf numFmtId="1" fontId="13" fillId="3" borderId="14" xfId="9" applyNumberFormat="1" applyFill="1" applyBorder="1" applyAlignment="1">
      <alignment horizontal="center"/>
    </xf>
    <xf numFmtId="0" fontId="13" fillId="3" borderId="16" xfId="9" applyFill="1" applyBorder="1"/>
    <xf numFmtId="0" fontId="16" fillId="0" borderId="2" xfId="9" applyFont="1" applyBorder="1" applyAlignment="1">
      <alignment horizontal="center"/>
    </xf>
    <xf numFmtId="0" fontId="15" fillId="0" borderId="81" xfId="9" applyFont="1" applyBorder="1" applyAlignment="1">
      <alignment horizontal="center"/>
    </xf>
    <xf numFmtId="0" fontId="15" fillId="0" borderId="3" xfId="9" applyFont="1" applyBorder="1" applyAlignment="1">
      <alignment horizontal="center"/>
    </xf>
    <xf numFmtId="0" fontId="15" fillId="2" borderId="3" xfId="9" applyFont="1" applyFill="1" applyBorder="1" applyAlignment="1">
      <alignment horizontal="center"/>
    </xf>
    <xf numFmtId="1" fontId="15" fillId="2" borderId="15" xfId="9" applyNumberFormat="1" applyFont="1" applyFill="1" applyBorder="1" applyAlignment="1">
      <alignment horizontal="center"/>
    </xf>
    <xf numFmtId="0" fontId="16" fillId="0" borderId="23" xfId="9" applyFont="1" applyBorder="1" applyAlignment="1">
      <alignment horizontal="center"/>
    </xf>
    <xf numFmtId="0" fontId="15" fillId="0" borderId="24" xfId="9" applyFont="1" applyBorder="1" applyAlignment="1">
      <alignment horizontal="center"/>
    </xf>
    <xf numFmtId="0" fontId="15" fillId="0" borderId="0" xfId="9" applyFont="1" applyBorder="1" applyAlignment="1">
      <alignment horizontal="center"/>
    </xf>
    <xf numFmtId="0" fontId="15" fillId="0" borderId="85" xfId="9" applyFont="1" applyFill="1" applyBorder="1" applyAlignment="1">
      <alignment horizontal="center"/>
    </xf>
    <xf numFmtId="0" fontId="15" fillId="0" borderId="25" xfId="9" applyFont="1" applyFill="1" applyBorder="1" applyAlignment="1">
      <alignment horizontal="center"/>
    </xf>
    <xf numFmtId="0" fontId="15" fillId="2" borderId="0" xfId="9" applyFont="1" applyFill="1" applyBorder="1" applyAlignment="1">
      <alignment horizontal="center"/>
    </xf>
    <xf numFmtId="1" fontId="15" fillId="2" borderId="32" xfId="9" applyNumberFormat="1" applyFont="1" applyFill="1" applyBorder="1" applyAlignment="1">
      <alignment horizontal="center"/>
    </xf>
    <xf numFmtId="0" fontId="13" fillId="0" borderId="5" xfId="9" applyBorder="1"/>
    <xf numFmtId="165" fontId="15" fillId="0" borderId="6" xfId="9" quotePrefix="1" applyNumberFormat="1" applyFont="1" applyBorder="1" applyAlignment="1">
      <alignment horizontal="center"/>
    </xf>
    <xf numFmtId="165" fontId="15" fillId="0" borderId="67" xfId="9" quotePrefix="1" applyNumberFormat="1" applyFont="1" applyBorder="1" applyAlignment="1">
      <alignment horizontal="center"/>
    </xf>
    <xf numFmtId="1" fontId="15" fillId="0" borderId="86" xfId="9" applyNumberFormat="1" applyFont="1" applyBorder="1" applyAlignment="1">
      <alignment horizontal="center"/>
    </xf>
    <xf numFmtId="1" fontId="15" fillId="0" borderId="7" xfId="9" applyNumberFormat="1" applyFont="1" applyBorder="1" applyAlignment="1">
      <alignment horizontal="center"/>
    </xf>
    <xf numFmtId="0" fontId="15" fillId="2" borderId="7" xfId="9" applyFont="1" applyFill="1" applyBorder="1" applyAlignment="1">
      <alignment horizontal="center"/>
    </xf>
    <xf numFmtId="1" fontId="15" fillId="2" borderId="33" xfId="9" applyNumberFormat="1" applyFont="1" applyFill="1" applyBorder="1" applyAlignment="1">
      <alignment horizontal="center"/>
    </xf>
    <xf numFmtId="0" fontId="15" fillId="0" borderId="8" xfId="9" applyFont="1" applyBorder="1"/>
    <xf numFmtId="0" fontId="13" fillId="0" borderId="1" xfId="9" applyBorder="1" applyAlignment="1">
      <alignment horizontal="center"/>
    </xf>
    <xf numFmtId="0" fontId="13" fillId="0" borderId="57" xfId="9" applyBorder="1" applyAlignment="1">
      <alignment horizontal="center"/>
    </xf>
    <xf numFmtId="0" fontId="13" fillId="0" borderId="71" xfId="9" applyBorder="1" applyAlignment="1">
      <alignment horizontal="center"/>
    </xf>
    <xf numFmtId="0" fontId="14" fillId="2" borderId="1" xfId="9" applyFont="1" applyFill="1" applyBorder="1" applyAlignment="1">
      <alignment horizontal="center"/>
    </xf>
    <xf numFmtId="1" fontId="14" fillId="2" borderId="35" xfId="9" applyNumberFormat="1" applyFont="1" applyFill="1" applyBorder="1" applyAlignment="1">
      <alignment horizontal="center"/>
    </xf>
    <xf numFmtId="0" fontId="15" fillId="0" borderId="9" xfId="9" applyFont="1" applyBorder="1"/>
    <xf numFmtId="1" fontId="14" fillId="2" borderId="34" xfId="9" applyNumberFormat="1" applyFont="1" applyFill="1" applyBorder="1" applyAlignment="1">
      <alignment horizontal="center"/>
    </xf>
    <xf numFmtId="0" fontId="16" fillId="2" borderId="10" xfId="9" applyFont="1" applyFill="1" applyBorder="1"/>
    <xf numFmtId="0" fontId="13" fillId="2" borderId="11" xfId="9" applyFill="1" applyBorder="1" applyAlignment="1">
      <alignment horizontal="center"/>
    </xf>
    <xf numFmtId="0" fontId="13" fillId="2" borderId="83" xfId="9" applyFill="1" applyBorder="1" applyAlignment="1">
      <alignment horizontal="center"/>
    </xf>
    <xf numFmtId="0" fontId="13" fillId="2" borderId="70" xfId="9" applyFill="1" applyBorder="1" applyAlignment="1">
      <alignment horizontal="center"/>
    </xf>
    <xf numFmtId="9" fontId="14" fillId="2" borderId="1" xfId="9" applyNumberFormat="1" applyFont="1" applyFill="1" applyBorder="1" applyAlignment="1">
      <alignment horizontal="right"/>
    </xf>
    <xf numFmtId="9" fontId="14" fillId="2" borderId="34" xfId="9" applyNumberFormat="1" applyFont="1" applyFill="1" applyBorder="1" applyAlignment="1">
      <alignment horizontal="right"/>
    </xf>
    <xf numFmtId="0" fontId="14" fillId="3" borderId="20" xfId="9" applyFont="1" applyFill="1" applyBorder="1" applyAlignment="1">
      <alignment horizontal="center"/>
    </xf>
    <xf numFmtId="1" fontId="14" fillId="3" borderId="20" xfId="9" applyNumberFormat="1" applyFont="1" applyFill="1" applyBorder="1" applyAlignment="1">
      <alignment horizontal="center"/>
    </xf>
    <xf numFmtId="0" fontId="13" fillId="0" borderId="79" xfId="9" applyBorder="1" applyAlignment="1">
      <alignment horizontal="center"/>
    </xf>
    <xf numFmtId="0" fontId="15" fillId="0" borderId="19" xfId="9" applyFont="1" applyBorder="1"/>
    <xf numFmtId="0" fontId="13" fillId="0" borderId="82" xfId="9" applyBorder="1" applyAlignment="1">
      <alignment horizontal="center"/>
    </xf>
    <xf numFmtId="0" fontId="16" fillId="2" borderId="13" xfId="9" applyFont="1" applyFill="1" applyBorder="1"/>
    <xf numFmtId="0" fontId="13" fillId="2" borderId="12" xfId="9" applyFill="1" applyBorder="1" applyAlignment="1">
      <alignment horizontal="center"/>
    </xf>
    <xf numFmtId="0" fontId="13" fillId="2" borderId="61" xfId="9" applyFill="1" applyBorder="1" applyAlignment="1">
      <alignment horizontal="center"/>
    </xf>
    <xf numFmtId="0" fontId="13" fillId="2" borderId="82" xfId="9" applyFill="1" applyBorder="1" applyAlignment="1">
      <alignment horizontal="center"/>
    </xf>
    <xf numFmtId="0" fontId="13" fillId="3" borderId="69" xfId="9" applyFill="1" applyBorder="1"/>
    <xf numFmtId="0" fontId="13" fillId="3" borderId="68" xfId="9" applyFill="1" applyBorder="1"/>
    <xf numFmtId="0" fontId="15" fillId="2" borderId="53" xfId="9" applyFont="1" applyFill="1" applyBorder="1" applyAlignment="1">
      <alignment horizontal="left"/>
    </xf>
    <xf numFmtId="0" fontId="13" fillId="2" borderId="54" xfId="9" applyFill="1" applyBorder="1" applyAlignment="1">
      <alignment horizontal="center"/>
    </xf>
    <xf numFmtId="1" fontId="13" fillId="2" borderId="54" xfId="9" applyNumberFormat="1" applyFont="1" applyFill="1" applyBorder="1" applyAlignment="1">
      <alignment horizontal="center"/>
    </xf>
    <xf numFmtId="1" fontId="13" fillId="2" borderId="55" xfId="9" applyNumberFormat="1" applyFill="1" applyBorder="1" applyAlignment="1">
      <alignment horizontal="center"/>
    </xf>
    <xf numFmtId="0" fontId="13" fillId="0" borderId="0" xfId="9" applyAlignment="1">
      <alignment horizontal="left"/>
    </xf>
    <xf numFmtId="0" fontId="13" fillId="0" borderId="0" xfId="9" applyAlignment="1">
      <alignment horizontal="right"/>
    </xf>
    <xf numFmtId="1" fontId="17" fillId="0" borderId="0" xfId="9" applyNumberFormat="1" applyFont="1" applyAlignment="1">
      <alignment horizontal="center"/>
    </xf>
    <xf numFmtId="0" fontId="16" fillId="4" borderId="3" xfId="9" applyFont="1" applyFill="1" applyBorder="1" applyAlignment="1">
      <alignment horizontal="center"/>
    </xf>
    <xf numFmtId="0" fontId="15" fillId="0" borderId="14" xfId="9" applyFont="1" applyBorder="1" applyAlignment="1">
      <alignment horizontal="center"/>
    </xf>
    <xf numFmtId="0" fontId="15" fillId="2" borderId="4" xfId="9" applyFont="1" applyFill="1" applyBorder="1" applyAlignment="1">
      <alignment horizontal="center"/>
    </xf>
    <xf numFmtId="0" fontId="16" fillId="4" borderId="24" xfId="9" applyFont="1" applyFill="1" applyBorder="1" applyAlignment="1">
      <alignment horizontal="center"/>
    </xf>
    <xf numFmtId="0" fontId="16" fillId="4" borderId="7" xfId="9" applyFont="1" applyFill="1" applyBorder="1" applyAlignment="1">
      <alignment horizontal="center"/>
    </xf>
    <xf numFmtId="166" fontId="15" fillId="2" borderId="7" xfId="9" applyNumberFormat="1" applyFont="1" applyFill="1" applyBorder="1" applyAlignment="1">
      <alignment horizontal="center"/>
    </xf>
    <xf numFmtId="0" fontId="13" fillId="3" borderId="21" xfId="9" applyFill="1" applyBorder="1" applyProtection="1"/>
    <xf numFmtId="0" fontId="15" fillId="0" borderId="55" xfId="9" applyFont="1" applyBorder="1" applyAlignment="1" applyProtection="1">
      <alignment horizontal="left"/>
    </xf>
    <xf numFmtId="1" fontId="13" fillId="0" borderId="52" xfId="9" applyNumberFormat="1" applyBorder="1" applyAlignment="1" applyProtection="1">
      <alignment horizontal="center"/>
    </xf>
    <xf numFmtId="0" fontId="13" fillId="0" borderId="52" xfId="9" applyBorder="1" applyAlignment="1" applyProtection="1">
      <alignment horizontal="center"/>
    </xf>
    <xf numFmtId="1" fontId="13" fillId="0" borderId="53" xfId="9" applyNumberFormat="1" applyBorder="1" applyAlignment="1" applyProtection="1">
      <alignment horizontal="center"/>
    </xf>
    <xf numFmtId="0" fontId="13" fillId="0" borderId="82" xfId="9" applyBorder="1" applyAlignment="1" applyProtection="1">
      <alignment horizontal="center"/>
    </xf>
    <xf numFmtId="0" fontId="13" fillId="3" borderId="16" xfId="9" applyFill="1" applyBorder="1" applyProtection="1"/>
    <xf numFmtId="0" fontId="13" fillId="0" borderId="0" xfId="9" applyProtection="1"/>
    <xf numFmtId="0" fontId="13" fillId="0" borderId="52" xfId="9" applyBorder="1" applyAlignment="1">
      <alignment horizontal="center"/>
    </xf>
    <xf numFmtId="1" fontId="13" fillId="0" borderId="52" xfId="9" applyNumberFormat="1" applyFont="1" applyBorder="1" applyAlignment="1">
      <alignment horizontal="center"/>
    </xf>
    <xf numFmtId="0" fontId="13" fillId="0" borderId="70" xfId="9" applyBorder="1" applyAlignment="1">
      <alignment horizontal="center"/>
    </xf>
    <xf numFmtId="0" fontId="13" fillId="3" borderId="32" xfId="9" applyFill="1" applyBorder="1"/>
    <xf numFmtId="0" fontId="15" fillId="0" borderId="88" xfId="9" applyFont="1" applyBorder="1" applyAlignment="1">
      <alignment horizontal="center"/>
    </xf>
    <xf numFmtId="165" fontId="15" fillId="0" borderId="89" xfId="9" quotePrefix="1" applyNumberFormat="1" applyFont="1" applyBorder="1" applyAlignment="1">
      <alignment horizontal="center"/>
    </xf>
    <xf numFmtId="0" fontId="13" fillId="0" borderId="90" xfId="9" applyBorder="1" applyAlignment="1">
      <alignment horizontal="center"/>
    </xf>
    <xf numFmtId="0" fontId="13" fillId="2" borderId="91" xfId="9" applyFill="1" applyBorder="1" applyAlignment="1">
      <alignment horizontal="center"/>
    </xf>
    <xf numFmtId="0" fontId="13" fillId="3" borderId="87" xfId="9" applyFill="1" applyBorder="1" applyAlignment="1">
      <alignment horizontal="center"/>
    </xf>
    <xf numFmtId="0" fontId="13" fillId="2" borderId="92" xfId="9" applyFill="1" applyBorder="1" applyAlignment="1">
      <alignment horizontal="center"/>
    </xf>
    <xf numFmtId="0" fontId="15" fillId="0" borderId="28" xfId="9" applyFont="1" applyBorder="1" applyAlignment="1">
      <alignment horizontal="center"/>
    </xf>
    <xf numFmtId="1" fontId="15" fillId="0" borderId="29" xfId="9" applyNumberFormat="1" applyFont="1" applyBorder="1" applyAlignment="1">
      <alignment horizontal="center"/>
    </xf>
    <xf numFmtId="0" fontId="15" fillId="0" borderId="93" xfId="9" applyFont="1" applyFill="1" applyBorder="1" applyAlignment="1">
      <alignment horizontal="center"/>
    </xf>
    <xf numFmtId="0" fontId="15" fillId="0" borderId="27" xfId="9" applyFont="1" applyFill="1" applyBorder="1" applyAlignment="1">
      <alignment horizontal="center"/>
    </xf>
    <xf numFmtId="0" fontId="13" fillId="0" borderId="53" xfId="9" applyBorder="1" applyAlignment="1">
      <alignment horizontal="center"/>
    </xf>
    <xf numFmtId="0" fontId="15" fillId="0" borderId="85" xfId="9" applyFont="1" applyBorder="1" applyAlignment="1">
      <alignment horizontal="center"/>
    </xf>
    <xf numFmtId="165" fontId="15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14" fontId="17" fillId="0" borderId="0" xfId="0" applyNumberFormat="1" applyFont="1" applyFill="1" applyAlignment="1">
      <alignment horizontal="center"/>
    </xf>
    <xf numFmtId="14" fontId="17" fillId="10" borderId="94" xfId="0" applyNumberFormat="1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5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5" fillId="2" borderId="4" xfId="0" applyFont="1" applyFill="1" applyBorder="1" applyAlignment="1" applyProtection="1">
      <alignment horizontal="center"/>
    </xf>
    <xf numFmtId="0" fontId="15" fillId="2" borderId="25" xfId="0" applyFont="1" applyFill="1" applyBorder="1" applyAlignment="1" applyProtection="1">
      <alignment horizontal="center"/>
    </xf>
    <xf numFmtId="166" fontId="15" fillId="2" borderId="6" xfId="0" applyNumberFormat="1" applyFont="1" applyFill="1" applyBorder="1" applyAlignment="1" applyProtection="1">
      <alignment horizontal="center"/>
    </xf>
    <xf numFmtId="1" fontId="19" fillId="2" borderId="1" xfId="0" applyNumberFormat="1" applyFont="1" applyFill="1" applyBorder="1" applyAlignment="1" applyProtection="1">
      <alignment horizontal="center"/>
    </xf>
    <xf numFmtId="1" fontId="14" fillId="2" borderId="1" xfId="0" applyNumberFormat="1" applyFont="1" applyFill="1" applyBorder="1" applyAlignment="1" applyProtection="1">
      <alignment horizontal="center"/>
    </xf>
    <xf numFmtId="164" fontId="14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3" fillId="0" borderId="52" xfId="9" applyBorder="1" applyAlignment="1">
      <alignment horizontal="center" vertical="center"/>
    </xf>
    <xf numFmtId="0" fontId="15" fillId="0" borderId="75" xfId="0" applyFont="1" applyFill="1" applyBorder="1" applyAlignment="1">
      <alignment horizontal="center"/>
    </xf>
    <xf numFmtId="0" fontId="15" fillId="2" borderId="85" xfId="0" applyFont="1" applyFill="1" applyBorder="1" applyAlignment="1">
      <alignment horizontal="center"/>
    </xf>
    <xf numFmtId="166" fontId="15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3" fillId="0" borderId="57" xfId="9" applyNumberFormat="1" applyBorder="1" applyAlignment="1">
      <alignment horizontal="center"/>
    </xf>
    <xf numFmtId="167" fontId="13" fillId="2" borderId="83" xfId="9" applyNumberFormat="1" applyFill="1" applyBorder="1" applyAlignment="1">
      <alignment horizontal="center"/>
    </xf>
    <xf numFmtId="167" fontId="13" fillId="3" borderId="20" xfId="9" applyNumberFormat="1" applyFill="1" applyBorder="1" applyAlignment="1">
      <alignment horizontal="center"/>
    </xf>
    <xf numFmtId="167" fontId="13" fillId="2" borderId="61" xfId="9" applyNumberFormat="1" applyFill="1" applyBorder="1" applyAlignment="1">
      <alignment horizontal="center"/>
    </xf>
    <xf numFmtId="167" fontId="13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3" fillId="0" borderId="53" xfId="9" applyNumberFormat="1" applyBorder="1" applyAlignment="1" applyProtection="1">
      <alignment horizontal="center"/>
    </xf>
    <xf numFmtId="167" fontId="13" fillId="0" borderId="53" xfId="9" applyNumberFormat="1" applyFont="1" applyBorder="1" applyAlignment="1">
      <alignment horizontal="center"/>
    </xf>
    <xf numFmtId="0" fontId="15" fillId="2" borderId="81" xfId="0" applyFont="1" applyFill="1" applyBorder="1" applyAlignment="1" applyProtection="1">
      <alignment horizontal="center"/>
    </xf>
    <xf numFmtId="166" fontId="15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5" fillId="0" borderId="79" xfId="0" applyFont="1" applyBorder="1" applyAlignment="1" applyProtection="1">
      <alignment horizontal="center"/>
    </xf>
    <xf numFmtId="0" fontId="15" fillId="0" borderId="71" xfId="0" applyFont="1" applyBorder="1" applyAlignment="1" applyProtection="1">
      <alignment horizontal="center"/>
    </xf>
    <xf numFmtId="0" fontId="29" fillId="0" borderId="0" xfId="0" applyFont="1"/>
    <xf numFmtId="0" fontId="14" fillId="0" borderId="1" xfId="0" applyFont="1" applyBorder="1" applyAlignment="1" applyProtection="1">
      <alignment horizontal="center"/>
    </xf>
    <xf numFmtId="0" fontId="14" fillId="0" borderId="22" xfId="0" applyFont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right"/>
    </xf>
    <xf numFmtId="0" fontId="15" fillId="0" borderId="0" xfId="0" applyFont="1" applyFill="1" applyAlignment="1">
      <alignment horizontal="left"/>
    </xf>
    <xf numFmtId="167" fontId="21" fillId="0" borderId="78" xfId="1" applyNumberFormat="1" applyBorder="1" applyAlignment="1">
      <alignment horizontal="center"/>
    </xf>
    <xf numFmtId="167" fontId="21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right" vertical="top"/>
    </xf>
    <xf numFmtId="0" fontId="15" fillId="0" borderId="0" xfId="0" applyFont="1" applyAlignment="1" applyProtection="1">
      <alignment horizontal="left" vertical="top"/>
    </xf>
    <xf numFmtId="167" fontId="21" fillId="0" borderId="60" xfId="1" applyNumberFormat="1" applyBorder="1" applyAlignment="1">
      <alignment horizontal="center"/>
    </xf>
    <xf numFmtId="167" fontId="21" fillId="0" borderId="38" xfId="1" applyNumberFormat="1" applyBorder="1" applyAlignment="1">
      <alignment horizontal="center"/>
    </xf>
    <xf numFmtId="167" fontId="21" fillId="0" borderId="30" xfId="1" applyNumberFormat="1" applyBorder="1" applyAlignment="1">
      <alignment horizontal="center"/>
    </xf>
    <xf numFmtId="167" fontId="21" fillId="0" borderId="28" xfId="1" applyNumberFormat="1" applyBorder="1" applyAlignment="1">
      <alignment horizontal="center"/>
    </xf>
    <xf numFmtId="167" fontId="21" fillId="0" borderId="37" xfId="1" applyNumberForma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1" fillId="0" borderId="0" xfId="0" applyFont="1" applyAlignment="1">
      <alignment horizontal="center"/>
    </xf>
    <xf numFmtId="0" fontId="7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2" fillId="0" borderId="0" xfId="0" applyFont="1"/>
    <xf numFmtId="0" fontId="0" fillId="11" borderId="0" xfId="0" applyFill="1"/>
    <xf numFmtId="0" fontId="3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4" fillId="9" borderId="0" xfId="0" applyFont="1" applyFill="1" applyAlignment="1">
      <alignment horizontal="right"/>
    </xf>
    <xf numFmtId="3" fontId="21" fillId="0" borderId="0" xfId="0" applyNumberFormat="1" applyFont="1" applyAlignment="1">
      <alignment vertical="top"/>
    </xf>
    <xf numFmtId="3" fontId="33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31" fillId="0" borderId="0" xfId="0" applyFont="1" applyAlignment="1" applyProtection="1">
      <alignment horizontal="left"/>
    </xf>
    <xf numFmtId="0" fontId="34" fillId="0" borderId="0" xfId="0" applyFont="1"/>
    <xf numFmtId="3" fontId="13" fillId="0" borderId="57" xfId="9" applyNumberFormat="1" applyBorder="1" applyAlignment="1">
      <alignment horizontal="center"/>
    </xf>
    <xf numFmtId="3" fontId="13" fillId="0" borderId="1" xfId="9" applyNumberFormat="1" applyBorder="1" applyAlignment="1">
      <alignment horizontal="center"/>
    </xf>
    <xf numFmtId="3" fontId="13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5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4" fillId="9" borderId="24" xfId="0" applyFont="1" applyFill="1" applyBorder="1" applyAlignment="1">
      <alignment horizontal="center"/>
    </xf>
    <xf numFmtId="0" fontId="14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4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5" fillId="0" borderId="1" xfId="0" applyNumberFormat="1" applyFont="1" applyBorder="1" applyAlignment="1" applyProtection="1">
      <alignment horizontal="center"/>
    </xf>
    <xf numFmtId="3" fontId="14" fillId="0" borderId="1" xfId="0" applyNumberFormat="1" applyFont="1" applyBorder="1" applyAlignment="1" applyProtection="1">
      <alignment horizontal="center"/>
    </xf>
    <xf numFmtId="3" fontId="15" fillId="0" borderId="22" xfId="0" applyNumberFormat="1" applyFont="1" applyBorder="1" applyAlignment="1" applyProtection="1">
      <alignment horizontal="center"/>
    </xf>
    <xf numFmtId="3" fontId="14" fillId="0" borderId="22" xfId="0" applyNumberFormat="1" applyFont="1" applyBorder="1" applyAlignment="1" applyProtection="1">
      <alignment horizontal="center"/>
    </xf>
    <xf numFmtId="3" fontId="15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5" fillId="9" borderId="61" xfId="0" applyFont="1" applyFill="1" applyBorder="1" applyAlignment="1">
      <alignment horizontal="center"/>
    </xf>
    <xf numFmtId="0" fontId="15" fillId="9" borderId="61" xfId="0" applyFont="1" applyFill="1" applyBorder="1" applyAlignment="1">
      <alignment horizontal="left"/>
    </xf>
    <xf numFmtId="167" fontId="2" fillId="0" borderId="57" xfId="9" applyNumberFormat="1" applyFont="1" applyBorder="1" applyAlignment="1">
      <alignment horizontal="center"/>
    </xf>
    <xf numFmtId="1" fontId="14" fillId="0" borderId="30" xfId="0" applyNumberFormat="1" applyFont="1" applyBorder="1" applyAlignment="1">
      <alignment horizontal="center"/>
    </xf>
    <xf numFmtId="167" fontId="14" fillId="0" borderId="30" xfId="0" applyNumberFormat="1" applyFont="1" applyBorder="1" applyAlignment="1">
      <alignment horizontal="center"/>
    </xf>
    <xf numFmtId="3" fontId="33" fillId="0" borderId="0" xfId="0" applyNumberFormat="1" applyFont="1" applyAlignment="1">
      <alignment horizontal="center" vertical="top"/>
    </xf>
    <xf numFmtId="3" fontId="21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14" fillId="0" borderId="99" xfId="0" applyFont="1" applyBorder="1"/>
    <xf numFmtId="0" fontId="14" fillId="0" borderId="100" xfId="0" applyFont="1" applyBorder="1"/>
    <xf numFmtId="3" fontId="23" fillId="8" borderId="101" xfId="0" applyNumberFormat="1" applyFont="1" applyFill="1" applyBorder="1" applyAlignment="1">
      <alignment vertical="top"/>
    </xf>
    <xf numFmtId="0" fontId="14" fillId="0" borderId="99" xfId="0" applyFont="1" applyBorder="1" applyAlignment="1">
      <alignment horizontal="right"/>
    </xf>
    <xf numFmtId="3" fontId="21" fillId="8" borderId="101" xfId="0" applyNumberFormat="1" applyFont="1" applyFill="1" applyBorder="1" applyAlignment="1">
      <alignment vertical="top"/>
    </xf>
    <xf numFmtId="1" fontId="14" fillId="7" borderId="0" xfId="0" applyNumberFormat="1" applyFont="1" applyFill="1" applyBorder="1" applyAlignment="1">
      <alignment horizontal="right"/>
    </xf>
    <xf numFmtId="0" fontId="14" fillId="0" borderId="102" xfId="0" applyFont="1" applyBorder="1" applyAlignment="1">
      <alignment horizontal="right"/>
    </xf>
    <xf numFmtId="0" fontId="14" fillId="0" borderId="100" xfId="0" applyFont="1" applyBorder="1" applyAlignment="1">
      <alignment horizontal="right"/>
    </xf>
    <xf numFmtId="1" fontId="14" fillId="5" borderId="101" xfId="0" applyNumberFormat="1" applyFont="1" applyFill="1" applyBorder="1" applyAlignment="1">
      <alignment horizontal="right"/>
    </xf>
    <xf numFmtId="3" fontId="13" fillId="0" borderId="79" xfId="9" applyNumberFormat="1" applyBorder="1" applyAlignment="1">
      <alignment horizontal="center"/>
    </xf>
    <xf numFmtId="3" fontId="13" fillId="0" borderId="82" xfId="9" applyNumberForma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3" fontId="15" fillId="0" borderId="71" xfId="0" applyNumberFormat="1" applyFont="1" applyBorder="1" applyAlignment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1" fontId="0" fillId="3" borderId="97" xfId="0" applyNumberFormat="1" applyFill="1" applyBorder="1" applyAlignment="1" applyProtection="1">
      <alignment horizontal="center"/>
    </xf>
    <xf numFmtId="49" fontId="15" fillId="0" borderId="28" xfId="0" applyNumberFormat="1" applyFont="1" applyBorder="1" applyAlignment="1" applyProtection="1">
      <alignment horizontal="center"/>
    </xf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" fillId="0" borderId="0" xfId="21"/>
    <xf numFmtId="0" fontId="14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103" xfId="0" applyBorder="1" applyAlignment="1">
      <alignment horizontal="left"/>
    </xf>
    <xf numFmtId="0" fontId="0" fillId="0" borderId="55" xfId="0" applyBorder="1" applyAlignment="1">
      <alignment horizontal="left"/>
    </xf>
    <xf numFmtId="0" fontId="15" fillId="10" borderId="78" xfId="9" applyFont="1" applyFill="1" applyBorder="1" applyAlignment="1">
      <alignment horizontal="center"/>
    </xf>
    <xf numFmtId="0" fontId="15" fillId="10" borderId="84" xfId="9" applyFont="1" applyFill="1" applyBorder="1" applyAlignment="1">
      <alignment horizontal="center"/>
    </xf>
  </cellXfs>
  <cellStyles count="22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19" xfId="21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6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600075</xdr:colOff>
      <xdr:row>1</xdr:row>
      <xdr:rowOff>78399</xdr:rowOff>
    </xdr:from>
    <xdr:to>
      <xdr:col>12</xdr:col>
      <xdr:colOff>114301</xdr:colOff>
      <xdr:row>5</xdr:row>
      <xdr:rowOff>140678</xdr:rowOff>
    </xdr:to>
    <xdr:pic>
      <xdr:nvPicPr>
        <xdr:cNvPr id="4" name="Picture 1" descr="http://scmpd.org/wp-content/uploads/2017/04/LT-GARVIN-260-30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54599"/>
          <a:ext cx="809626" cy="9671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topLeftCell="A4" workbookViewId="0">
      <selection activeCell="L20" sqref="L20"/>
    </sheetView>
  </sheetViews>
  <sheetFormatPr defaultRowHeight="12.75" x14ac:dyDescent="0.2"/>
  <cols>
    <col min="1" max="1" width="4.85546875" customWidth="1"/>
    <col min="2" max="5" width="8.85546875" style="327"/>
    <col min="6" max="6" width="3" style="327" customWidth="1"/>
    <col min="7" max="9" width="8.85546875" style="327"/>
    <col min="10" max="10" width="3.42578125" customWidth="1"/>
    <col min="11" max="11" width="14.85546875" customWidth="1"/>
    <col min="12" max="12" width="17.28515625" style="327" customWidth="1"/>
    <col min="13" max="13" width="15.42578125" customWidth="1"/>
  </cols>
  <sheetData>
    <row r="1" spans="1:13" x14ac:dyDescent="0.2">
      <c r="A1" s="77" t="s">
        <v>207</v>
      </c>
    </row>
    <row r="2" spans="1:13" ht="15" x14ac:dyDescent="0.25">
      <c r="A2" s="554" t="s">
        <v>219</v>
      </c>
    </row>
    <row r="3" spans="1:13" x14ac:dyDescent="0.2">
      <c r="A3" s="113" t="s">
        <v>201</v>
      </c>
    </row>
    <row r="4" spans="1:13" x14ac:dyDescent="0.2">
      <c r="A4" s="463"/>
      <c r="B4" s="471" t="s">
        <v>202</v>
      </c>
      <c r="C4" s="471" t="s">
        <v>203</v>
      </c>
      <c r="D4" s="471" t="s">
        <v>204</v>
      </c>
      <c r="E4" s="471" t="s">
        <v>206</v>
      </c>
      <c r="F4" s="463"/>
      <c r="G4" s="471" t="s">
        <v>4</v>
      </c>
      <c r="H4" s="471" t="s">
        <v>4</v>
      </c>
      <c r="I4" s="471" t="s">
        <v>4</v>
      </c>
      <c r="J4" s="463"/>
      <c r="K4" s="575" t="s">
        <v>208</v>
      </c>
      <c r="L4" s="561"/>
      <c r="M4" s="463"/>
    </row>
    <row r="5" spans="1:13" x14ac:dyDescent="0.2">
      <c r="A5" s="463" t="s">
        <v>81</v>
      </c>
      <c r="B5" s="471" t="s">
        <v>18</v>
      </c>
      <c r="C5" s="471" t="s">
        <v>18</v>
      </c>
      <c r="D5" s="471" t="s">
        <v>205</v>
      </c>
      <c r="E5" s="471" t="s">
        <v>205</v>
      </c>
      <c r="F5" s="463"/>
      <c r="G5" s="463">
        <v>2017</v>
      </c>
      <c r="H5" s="463">
        <v>2016</v>
      </c>
      <c r="I5" s="463">
        <v>2015</v>
      </c>
      <c r="J5" s="463"/>
      <c r="K5" s="564" t="s">
        <v>217</v>
      </c>
      <c r="L5" s="563" t="s">
        <v>208</v>
      </c>
      <c r="M5" s="463"/>
    </row>
    <row r="6" spans="1:13" x14ac:dyDescent="0.2">
      <c r="A6" s="463">
        <v>11</v>
      </c>
      <c r="B6" s="559"/>
      <c r="C6" s="559"/>
      <c r="D6" s="559"/>
      <c r="E6" s="559"/>
      <c r="F6" s="463"/>
      <c r="G6" s="559"/>
      <c r="H6" s="559"/>
      <c r="I6" s="559"/>
      <c r="J6" s="463"/>
      <c r="K6" s="564" t="s">
        <v>209</v>
      </c>
      <c r="L6" s="565"/>
      <c r="M6" s="463"/>
    </row>
    <row r="7" spans="1:13" x14ac:dyDescent="0.2">
      <c r="A7" s="463">
        <v>12</v>
      </c>
      <c r="B7" s="559"/>
      <c r="C7" s="559"/>
      <c r="D7" s="559"/>
      <c r="E7" s="559"/>
      <c r="F7" s="463"/>
      <c r="G7" s="559"/>
      <c r="H7" s="559">
        <v>3</v>
      </c>
      <c r="I7" s="559">
        <v>1</v>
      </c>
      <c r="J7" s="463"/>
      <c r="K7" s="564" t="s">
        <v>210</v>
      </c>
      <c r="L7" s="565">
        <v>2</v>
      </c>
      <c r="M7" s="463"/>
    </row>
    <row r="8" spans="1:13" x14ac:dyDescent="0.2">
      <c r="A8" s="463">
        <v>13</v>
      </c>
      <c r="B8" s="559"/>
      <c r="C8" s="559"/>
      <c r="D8" s="559"/>
      <c r="E8" s="559"/>
      <c r="F8" s="463"/>
      <c r="G8" s="559"/>
      <c r="H8" s="559"/>
      <c r="I8" s="559"/>
      <c r="J8" s="463"/>
      <c r="K8" s="564" t="s">
        <v>211</v>
      </c>
      <c r="L8" s="565"/>
      <c r="M8" s="463"/>
    </row>
    <row r="9" spans="1:13" x14ac:dyDescent="0.2">
      <c r="A9" s="463">
        <v>14</v>
      </c>
      <c r="B9" s="559"/>
      <c r="C9" s="559"/>
      <c r="D9" s="559"/>
      <c r="E9" s="559"/>
      <c r="F9" s="463"/>
      <c r="G9" s="327">
        <v>1</v>
      </c>
      <c r="H9" s="559">
        <v>1</v>
      </c>
      <c r="I9" s="559"/>
      <c r="J9" s="463"/>
      <c r="K9" s="564" t="s">
        <v>212</v>
      </c>
      <c r="L9" s="565">
        <v>2</v>
      </c>
      <c r="M9" s="463"/>
    </row>
    <row r="10" spans="1:13" x14ac:dyDescent="0.2">
      <c r="A10" s="463">
        <v>15</v>
      </c>
      <c r="B10" s="559"/>
      <c r="C10" s="559"/>
      <c r="D10" s="559"/>
      <c r="E10" s="559"/>
      <c r="F10" s="463"/>
      <c r="H10" s="559">
        <v>1</v>
      </c>
      <c r="I10" s="559"/>
      <c r="J10" s="463"/>
      <c r="K10" s="564" t="s">
        <v>213</v>
      </c>
      <c r="L10" s="565"/>
      <c r="M10" s="463"/>
    </row>
    <row r="11" spans="1:13" x14ac:dyDescent="0.2">
      <c r="A11" s="463">
        <v>16</v>
      </c>
      <c r="B11" s="559"/>
      <c r="C11" s="559"/>
      <c r="D11" s="559">
        <v>1</v>
      </c>
      <c r="E11" s="559"/>
      <c r="F11" s="463"/>
      <c r="G11" s="327">
        <v>2</v>
      </c>
      <c r="H11" s="559"/>
      <c r="I11" s="559"/>
      <c r="J11" s="463"/>
      <c r="K11" s="564" t="s">
        <v>228</v>
      </c>
      <c r="L11" s="583">
        <v>3</v>
      </c>
      <c r="M11" s="463"/>
    </row>
    <row r="12" spans="1:13" x14ac:dyDescent="0.2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74" t="s">
        <v>216</v>
      </c>
      <c r="L12" s="561"/>
      <c r="M12" s="463"/>
    </row>
    <row r="13" spans="1:13" x14ac:dyDescent="0.2">
      <c r="A13" s="463">
        <v>21</v>
      </c>
      <c r="B13" s="559"/>
      <c r="C13" s="559"/>
      <c r="D13" s="559"/>
      <c r="E13" s="559"/>
      <c r="F13" s="463"/>
      <c r="G13" s="559"/>
      <c r="H13" s="559"/>
      <c r="J13" s="463"/>
      <c r="K13" s="562"/>
      <c r="L13" s="563" t="s">
        <v>218</v>
      </c>
      <c r="M13" s="463"/>
    </row>
    <row r="14" spans="1:13" x14ac:dyDescent="0.2">
      <c r="A14" s="463">
        <v>22</v>
      </c>
      <c r="B14" s="559"/>
      <c r="C14" s="559"/>
      <c r="D14" s="559"/>
      <c r="E14" s="559"/>
      <c r="F14" s="463"/>
      <c r="G14" s="559"/>
      <c r="H14" s="559"/>
      <c r="J14" s="463"/>
      <c r="K14" s="564" t="s">
        <v>214</v>
      </c>
      <c r="L14" s="565">
        <v>1</v>
      </c>
      <c r="M14" s="463"/>
    </row>
    <row r="15" spans="1:13" x14ac:dyDescent="0.2">
      <c r="A15" s="463">
        <v>23</v>
      </c>
      <c r="B15" s="559"/>
      <c r="C15" s="559"/>
      <c r="D15" s="559"/>
      <c r="E15" s="559"/>
      <c r="F15" s="463"/>
      <c r="G15" s="559">
        <v>2</v>
      </c>
      <c r="H15" s="559"/>
      <c r="J15" s="463"/>
      <c r="K15" s="564" t="s">
        <v>208</v>
      </c>
      <c r="L15" s="565">
        <v>1</v>
      </c>
      <c r="M15" s="463"/>
    </row>
    <row r="16" spans="1:13" x14ac:dyDescent="0.2">
      <c r="A16" s="463">
        <v>24</v>
      </c>
      <c r="B16" s="559"/>
      <c r="C16" s="559"/>
      <c r="D16" s="559"/>
      <c r="E16" s="559"/>
      <c r="F16" s="463"/>
      <c r="G16" s="559"/>
      <c r="H16" s="559"/>
      <c r="J16" s="463"/>
      <c r="K16" s="562"/>
      <c r="L16" s="573"/>
      <c r="M16" s="463"/>
    </row>
    <row r="17" spans="1:16" x14ac:dyDescent="0.2">
      <c r="A17" s="463">
        <v>25</v>
      </c>
      <c r="B17" s="559"/>
      <c r="C17" s="559"/>
      <c r="D17" s="559"/>
      <c r="E17" s="559"/>
      <c r="F17" s="463"/>
      <c r="G17" s="559"/>
      <c r="H17" s="559">
        <v>2</v>
      </c>
      <c r="I17" s="559"/>
      <c r="J17" s="463"/>
      <c r="K17" s="564" t="s">
        <v>159</v>
      </c>
      <c r="L17" s="565">
        <v>0</v>
      </c>
      <c r="M17" s="463"/>
    </row>
    <row r="18" spans="1:16" x14ac:dyDescent="0.2">
      <c r="A18" s="463">
        <v>26</v>
      </c>
      <c r="B18" s="559"/>
      <c r="C18" s="559"/>
      <c r="D18" s="559"/>
      <c r="E18" s="559"/>
      <c r="F18" s="463"/>
      <c r="G18" s="559">
        <v>1</v>
      </c>
      <c r="H18" s="559">
        <v>1</v>
      </c>
      <c r="I18" s="559"/>
      <c r="J18" s="463"/>
      <c r="K18" s="564" t="s">
        <v>215</v>
      </c>
      <c r="L18" s="565">
        <v>0</v>
      </c>
      <c r="M18" s="463"/>
    </row>
    <row r="19" spans="1:16" x14ac:dyDescent="0.2">
      <c r="A19" s="463"/>
      <c r="B19" s="463"/>
      <c r="C19" s="463"/>
      <c r="D19" s="539"/>
      <c r="E19" s="463"/>
      <c r="F19" s="463"/>
      <c r="G19" s="463"/>
      <c r="H19" s="463"/>
      <c r="I19" s="463"/>
      <c r="J19" s="463"/>
      <c r="K19" s="562"/>
      <c r="L19" s="573"/>
      <c r="M19" s="463"/>
    </row>
    <row r="20" spans="1:16" x14ac:dyDescent="0.2">
      <c r="A20" s="463">
        <v>31</v>
      </c>
      <c r="B20" s="559"/>
      <c r="C20" s="559"/>
      <c r="D20" s="559"/>
      <c r="E20" s="559"/>
      <c r="F20" s="463"/>
      <c r="G20" s="559"/>
      <c r="H20" s="559">
        <v>1</v>
      </c>
      <c r="I20" s="559"/>
      <c r="J20" s="463"/>
      <c r="K20" s="564" t="s">
        <v>196</v>
      </c>
      <c r="L20" s="565">
        <v>5</v>
      </c>
      <c r="M20" s="463"/>
    </row>
    <row r="21" spans="1:16" x14ac:dyDescent="0.2">
      <c r="A21" s="463">
        <v>32</v>
      </c>
      <c r="B21" s="559"/>
      <c r="C21" s="559"/>
      <c r="D21" s="559"/>
      <c r="E21" s="559"/>
      <c r="F21" s="463"/>
      <c r="G21" s="559"/>
      <c r="H21" s="559"/>
      <c r="I21" s="559"/>
      <c r="J21" s="463"/>
      <c r="K21" s="564" t="s">
        <v>195</v>
      </c>
      <c r="L21" s="565">
        <v>3</v>
      </c>
      <c r="M21" s="463"/>
    </row>
    <row r="22" spans="1:16" x14ac:dyDescent="0.2">
      <c r="A22" s="463">
        <v>33</v>
      </c>
      <c r="B22" s="559"/>
      <c r="C22" s="559"/>
      <c r="D22" s="559"/>
      <c r="E22" s="559"/>
      <c r="F22" s="463"/>
      <c r="G22" s="327">
        <v>2</v>
      </c>
      <c r="H22" s="559"/>
      <c r="I22" s="559"/>
      <c r="J22" s="463"/>
      <c r="K22" s="566" t="s">
        <v>197</v>
      </c>
      <c r="L22" s="567">
        <v>2</v>
      </c>
      <c r="M22" s="463"/>
    </row>
    <row r="23" spans="1:16" x14ac:dyDescent="0.2">
      <c r="A23" s="463">
        <v>34</v>
      </c>
      <c r="B23" s="559"/>
      <c r="C23" s="559"/>
      <c r="D23" s="559"/>
      <c r="E23" s="559"/>
      <c r="F23" s="463"/>
      <c r="G23" s="327">
        <v>1</v>
      </c>
      <c r="H23" s="327">
        <v>1</v>
      </c>
      <c r="I23" s="327">
        <v>3</v>
      </c>
      <c r="J23" s="463"/>
      <c r="K23" s="463"/>
      <c r="L23" s="463"/>
      <c r="M23" s="463"/>
    </row>
    <row r="24" spans="1:16" x14ac:dyDescent="0.2">
      <c r="A24" s="463">
        <v>35</v>
      </c>
      <c r="B24" s="559"/>
      <c r="C24" s="559"/>
      <c r="D24" s="559"/>
      <c r="E24" s="559"/>
      <c r="F24" s="463"/>
      <c r="G24" s="327">
        <v>2</v>
      </c>
      <c r="H24" s="327">
        <v>1</v>
      </c>
      <c r="I24" s="327">
        <v>1</v>
      </c>
      <c r="J24" s="463"/>
      <c r="K24" s="463"/>
      <c r="L24" s="463"/>
      <c r="M24" s="463"/>
    </row>
    <row r="25" spans="1:16" x14ac:dyDescent="0.2">
      <c r="A25" s="463">
        <v>37</v>
      </c>
      <c r="B25" s="559"/>
      <c r="C25" s="559"/>
      <c r="D25" s="559"/>
      <c r="E25" s="559"/>
      <c r="F25" s="463"/>
      <c r="G25" s="559"/>
      <c r="H25" s="559"/>
      <c r="I25" s="559"/>
      <c r="J25" s="463"/>
      <c r="K25" s="463"/>
      <c r="L25" s="463"/>
      <c r="M25" s="463"/>
    </row>
    <row r="26" spans="1:16" x14ac:dyDescent="0.2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6" x14ac:dyDescent="0.2">
      <c r="A27" s="463">
        <v>41</v>
      </c>
      <c r="B27" s="559"/>
      <c r="C27" s="559"/>
      <c r="D27" s="559"/>
      <c r="E27" s="559"/>
      <c r="F27" s="463"/>
      <c r="G27" s="559"/>
      <c r="I27" s="559"/>
      <c r="J27" s="463"/>
      <c r="K27" s="463"/>
      <c r="L27" s="463"/>
      <c r="M27" s="463"/>
    </row>
    <row r="28" spans="1:16" x14ac:dyDescent="0.2">
      <c r="A28" s="463">
        <v>42</v>
      </c>
      <c r="B28" s="559"/>
      <c r="C28" s="559"/>
      <c r="D28" s="559"/>
      <c r="E28" s="559"/>
      <c r="F28" s="463"/>
      <c r="G28" s="559">
        <v>1</v>
      </c>
      <c r="H28" s="327">
        <v>1</v>
      </c>
      <c r="J28" s="463"/>
      <c r="K28" s="463"/>
      <c r="L28" s="463"/>
      <c r="M28" s="463"/>
      <c r="P28" t="s">
        <v>64</v>
      </c>
    </row>
    <row r="29" spans="1:16" x14ac:dyDescent="0.2">
      <c r="A29" s="463">
        <v>43</v>
      </c>
      <c r="B29" s="559"/>
      <c r="C29" s="559"/>
      <c r="D29" s="559"/>
      <c r="E29" s="559"/>
      <c r="F29" s="463"/>
      <c r="G29" s="559"/>
      <c r="H29" s="327">
        <v>1</v>
      </c>
      <c r="J29" s="463"/>
      <c r="K29" s="463"/>
      <c r="L29" s="463"/>
      <c r="M29" s="463"/>
    </row>
    <row r="30" spans="1:16" x14ac:dyDescent="0.2">
      <c r="A30" s="463">
        <v>44</v>
      </c>
      <c r="B30" s="559"/>
      <c r="C30" s="559"/>
      <c r="D30" s="559"/>
      <c r="E30" s="559"/>
      <c r="F30" s="463"/>
      <c r="G30" s="559">
        <v>1</v>
      </c>
      <c r="H30" s="327">
        <v>1</v>
      </c>
      <c r="J30" s="463"/>
      <c r="K30" s="463"/>
      <c r="L30" s="463"/>
      <c r="M30" s="463"/>
    </row>
    <row r="31" spans="1:16" x14ac:dyDescent="0.2">
      <c r="A31" s="463">
        <v>45</v>
      </c>
      <c r="B31" s="559"/>
      <c r="C31" s="559"/>
      <c r="D31" s="559"/>
      <c r="E31" s="559"/>
      <c r="F31" s="463"/>
      <c r="G31" s="559"/>
      <c r="J31" s="463"/>
      <c r="K31" s="463"/>
      <c r="L31" s="463"/>
      <c r="M31" s="463"/>
    </row>
    <row r="32" spans="1:16" x14ac:dyDescent="0.2">
      <c r="A32" s="463">
        <v>46</v>
      </c>
      <c r="B32" s="559"/>
      <c r="C32" s="559"/>
      <c r="D32" s="559"/>
      <c r="E32" s="559"/>
      <c r="F32" s="463"/>
      <c r="G32" s="559"/>
      <c r="H32" s="559"/>
      <c r="I32" s="559"/>
      <c r="J32" s="463"/>
      <c r="K32" s="463"/>
      <c r="L32" s="463"/>
      <c r="M32" s="463"/>
    </row>
    <row r="33" spans="1:13" x14ac:dyDescent="0.2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">
      <c r="A34" s="463">
        <v>51</v>
      </c>
      <c r="B34" s="559"/>
      <c r="C34" s="559"/>
      <c r="D34" s="559"/>
      <c r="E34" s="559"/>
      <c r="F34" s="463"/>
      <c r="G34" s="559"/>
      <c r="H34" s="559">
        <v>1</v>
      </c>
      <c r="I34" s="559"/>
      <c r="J34" s="463"/>
      <c r="K34" s="463"/>
      <c r="L34" s="463"/>
      <c r="M34" s="463"/>
    </row>
    <row r="35" spans="1:13" x14ac:dyDescent="0.2">
      <c r="A35" s="463">
        <v>52</v>
      </c>
      <c r="B35" s="559"/>
      <c r="C35" s="559"/>
      <c r="D35" s="559"/>
      <c r="E35" s="559"/>
      <c r="F35" s="463"/>
      <c r="G35" s="327">
        <v>1</v>
      </c>
      <c r="H35" s="559">
        <v>2</v>
      </c>
      <c r="I35" s="327">
        <v>1</v>
      </c>
      <c r="J35" s="463"/>
      <c r="K35" s="463"/>
      <c r="L35" s="463"/>
      <c r="M35" s="463"/>
    </row>
    <row r="36" spans="1:13" x14ac:dyDescent="0.2">
      <c r="A36" s="463">
        <v>53</v>
      </c>
      <c r="B36" s="559"/>
      <c r="C36" s="559"/>
      <c r="D36" s="559"/>
      <c r="E36" s="559"/>
      <c r="F36" s="463"/>
      <c r="G36" s="327">
        <v>1</v>
      </c>
      <c r="H36" s="559"/>
      <c r="J36" s="463"/>
      <c r="K36" s="463"/>
      <c r="L36" s="463"/>
      <c r="M36" s="463"/>
    </row>
    <row r="37" spans="1:13" x14ac:dyDescent="0.2">
      <c r="A37" s="463">
        <v>54</v>
      </c>
      <c r="B37" s="559"/>
      <c r="C37" s="559"/>
      <c r="D37" s="559"/>
      <c r="E37" s="559"/>
      <c r="F37" s="463"/>
      <c r="H37" s="559"/>
      <c r="I37" s="327">
        <v>1</v>
      </c>
      <c r="J37" s="463"/>
      <c r="K37" s="463"/>
      <c r="L37" s="463"/>
      <c r="M37" s="463"/>
    </row>
    <row r="38" spans="1:13" x14ac:dyDescent="0.2">
      <c r="A38" s="463">
        <v>55</v>
      </c>
      <c r="B38" s="559"/>
      <c r="C38" s="559">
        <v>1</v>
      </c>
      <c r="D38" s="559"/>
      <c r="E38" s="559"/>
      <c r="F38" s="463"/>
      <c r="G38" s="327">
        <v>1</v>
      </c>
      <c r="H38" s="559"/>
      <c r="J38" s="463"/>
      <c r="K38" s="463"/>
      <c r="L38" s="463"/>
      <c r="M38" s="463"/>
    </row>
    <row r="39" spans="1:13" x14ac:dyDescent="0.2">
      <c r="A39" s="463">
        <v>56</v>
      </c>
      <c r="B39" s="559"/>
      <c r="C39" s="559"/>
      <c r="D39" s="559"/>
      <c r="E39" s="559"/>
      <c r="F39" s="463"/>
      <c r="H39" s="559"/>
      <c r="J39" s="463"/>
      <c r="K39" s="463"/>
      <c r="L39" s="463"/>
      <c r="M39" s="463"/>
    </row>
    <row r="40" spans="1:13" x14ac:dyDescent="0.2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">
      <c r="A41" s="463">
        <v>61</v>
      </c>
      <c r="B41" s="559"/>
      <c r="C41" s="559"/>
      <c r="D41" s="559"/>
      <c r="E41" s="559"/>
      <c r="F41" s="463"/>
      <c r="H41" s="559">
        <v>1</v>
      </c>
      <c r="I41" s="327">
        <v>1</v>
      </c>
      <c r="J41" s="463"/>
      <c r="K41" s="463"/>
      <c r="L41" s="463"/>
      <c r="M41" s="463"/>
    </row>
    <row r="42" spans="1:13" x14ac:dyDescent="0.2">
      <c r="A42" s="463">
        <v>62</v>
      </c>
      <c r="B42" s="559"/>
      <c r="C42" s="559"/>
      <c r="D42" s="559"/>
      <c r="E42" s="559"/>
      <c r="F42" s="463"/>
      <c r="G42" s="327">
        <v>4</v>
      </c>
      <c r="H42" s="559"/>
      <c r="J42" s="463"/>
      <c r="K42" s="463"/>
      <c r="L42" s="463"/>
      <c r="M42" s="463"/>
    </row>
    <row r="43" spans="1:13" x14ac:dyDescent="0.2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21"/>
  <sheetViews>
    <sheetView zoomScaleNormal="100" workbookViewId="0">
      <selection activeCell="B19" sqref="B19"/>
    </sheetView>
  </sheetViews>
  <sheetFormatPr defaultRowHeight="12.75" x14ac:dyDescent="0.2"/>
  <cols>
    <col min="18" max="18" width="2.42578125" customWidth="1"/>
  </cols>
  <sheetData>
    <row r="1" spans="1:18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R2" s="464"/>
    </row>
    <row r="3" spans="1:18" x14ac:dyDescent="0.2">
      <c r="A3" s="463">
        <v>1</v>
      </c>
      <c r="B3">
        <v>12</v>
      </c>
      <c r="C3">
        <v>3</v>
      </c>
      <c r="D3">
        <v>1</v>
      </c>
      <c r="E3">
        <v>2</v>
      </c>
      <c r="F3">
        <v>1</v>
      </c>
      <c r="G3">
        <v>10</v>
      </c>
      <c r="H3">
        <v>27</v>
      </c>
      <c r="I3">
        <v>12</v>
      </c>
      <c r="J3">
        <v>5</v>
      </c>
      <c r="K3">
        <v>4</v>
      </c>
      <c r="L3">
        <v>0</v>
      </c>
      <c r="M3">
        <v>0</v>
      </c>
      <c r="N3">
        <v>14</v>
      </c>
      <c r="O3">
        <v>1</v>
      </c>
      <c r="P3">
        <v>14</v>
      </c>
      <c r="R3" s="464"/>
    </row>
    <row r="4" spans="1:18" x14ac:dyDescent="0.2">
      <c r="A4" s="463">
        <v>2</v>
      </c>
      <c r="B4">
        <v>18</v>
      </c>
      <c r="C4">
        <v>3</v>
      </c>
      <c r="E4">
        <v>2</v>
      </c>
      <c r="G4">
        <v>21</v>
      </c>
      <c r="H4">
        <v>18</v>
      </c>
      <c r="I4">
        <v>27</v>
      </c>
      <c r="J4">
        <v>3</v>
      </c>
      <c r="K4">
        <v>4</v>
      </c>
      <c r="L4">
        <v>5</v>
      </c>
      <c r="M4">
        <v>2</v>
      </c>
      <c r="N4">
        <v>6</v>
      </c>
      <c r="P4">
        <v>16</v>
      </c>
      <c r="Q4">
        <v>5</v>
      </c>
      <c r="R4" s="464"/>
    </row>
    <row r="5" spans="1:18" x14ac:dyDescent="0.2">
      <c r="A5" s="463">
        <v>3</v>
      </c>
      <c r="B5">
        <v>20</v>
      </c>
      <c r="C5">
        <v>2</v>
      </c>
      <c r="D5">
        <v>1</v>
      </c>
      <c r="E5">
        <v>5</v>
      </c>
      <c r="F5">
        <v>1</v>
      </c>
      <c r="G5">
        <v>31</v>
      </c>
      <c r="H5">
        <v>6</v>
      </c>
      <c r="I5">
        <v>12</v>
      </c>
      <c r="J5">
        <v>7</v>
      </c>
      <c r="K5">
        <v>5</v>
      </c>
      <c r="L5">
        <v>3</v>
      </c>
      <c r="N5">
        <v>19</v>
      </c>
      <c r="P5">
        <v>14</v>
      </c>
      <c r="Q5">
        <v>6</v>
      </c>
      <c r="R5" s="464"/>
    </row>
    <row r="6" spans="1:18" x14ac:dyDescent="0.2">
      <c r="A6" s="463">
        <v>4</v>
      </c>
      <c r="B6">
        <v>11</v>
      </c>
      <c r="D6">
        <v>1</v>
      </c>
      <c r="E6">
        <v>3</v>
      </c>
      <c r="G6">
        <v>20</v>
      </c>
      <c r="H6">
        <v>14</v>
      </c>
      <c r="I6">
        <v>1</v>
      </c>
      <c r="J6">
        <v>3</v>
      </c>
      <c r="K6">
        <v>1</v>
      </c>
      <c r="L6">
        <v>1</v>
      </c>
      <c r="N6">
        <v>14</v>
      </c>
      <c r="O6">
        <v>1</v>
      </c>
      <c r="P6">
        <v>56</v>
      </c>
      <c r="R6" s="464"/>
    </row>
    <row r="7" spans="1:18" x14ac:dyDescent="0.2">
      <c r="A7" s="463">
        <v>5</v>
      </c>
      <c r="B7">
        <v>6</v>
      </c>
      <c r="C7">
        <v>2</v>
      </c>
      <c r="D7">
        <v>1</v>
      </c>
      <c r="E7">
        <v>3</v>
      </c>
      <c r="G7">
        <v>16</v>
      </c>
      <c r="H7">
        <v>10</v>
      </c>
      <c r="I7">
        <v>3</v>
      </c>
      <c r="J7">
        <v>2</v>
      </c>
      <c r="K7">
        <v>2</v>
      </c>
      <c r="L7">
        <v>1</v>
      </c>
      <c r="M7">
        <v>2</v>
      </c>
      <c r="N7">
        <v>12</v>
      </c>
      <c r="P7">
        <v>12</v>
      </c>
      <c r="Q7">
        <v>1</v>
      </c>
      <c r="R7" s="464"/>
    </row>
    <row r="8" spans="1:18" x14ac:dyDescent="0.2">
      <c r="A8" s="463">
        <v>6</v>
      </c>
      <c r="B8">
        <v>1</v>
      </c>
      <c r="C8">
        <v>1</v>
      </c>
      <c r="E8">
        <v>1</v>
      </c>
      <c r="F8">
        <v>1</v>
      </c>
      <c r="G8">
        <v>17</v>
      </c>
      <c r="H8">
        <v>6</v>
      </c>
      <c r="I8">
        <v>3</v>
      </c>
      <c r="K8">
        <v>3</v>
      </c>
      <c r="L8">
        <v>1</v>
      </c>
      <c r="N8">
        <v>7</v>
      </c>
      <c r="P8">
        <v>11</v>
      </c>
      <c r="Q8">
        <v>3</v>
      </c>
      <c r="R8" s="464"/>
    </row>
    <row r="9" spans="1:18" x14ac:dyDescent="0.2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0" spans="1:18" x14ac:dyDescent="0.2">
      <c r="A10" s="463"/>
      <c r="B10" s="463"/>
      <c r="C10" s="463"/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4"/>
    </row>
    <row r="12" spans="1:18" x14ac:dyDescent="0.2">
      <c r="B12" s="466" t="s">
        <v>91</v>
      </c>
      <c r="C12" s="466" t="s">
        <v>91</v>
      </c>
      <c r="D12" s="92"/>
    </row>
    <row r="13" spans="1:18" x14ac:dyDescent="0.2">
      <c r="A13" s="463" t="s">
        <v>22</v>
      </c>
      <c r="B13" s="471" t="s">
        <v>90</v>
      </c>
      <c r="C13" s="463">
        <v>53</v>
      </c>
      <c r="D13" s="464"/>
    </row>
    <row r="14" spans="1:18" x14ac:dyDescent="0.2">
      <c r="A14" s="463">
        <v>1</v>
      </c>
      <c r="B14" s="327">
        <v>1</v>
      </c>
      <c r="C14" s="327">
        <v>37</v>
      </c>
      <c r="D14" s="464"/>
    </row>
    <row r="15" spans="1:18" x14ac:dyDescent="0.2">
      <c r="A15" s="463">
        <v>2</v>
      </c>
      <c r="B15" s="327">
        <v>14</v>
      </c>
      <c r="C15" s="327">
        <v>22</v>
      </c>
      <c r="D15" s="464"/>
    </row>
    <row r="16" spans="1:18" x14ac:dyDescent="0.2">
      <c r="A16" s="463">
        <v>3</v>
      </c>
      <c r="B16" s="327">
        <v>37</v>
      </c>
      <c r="C16" s="327">
        <v>71</v>
      </c>
      <c r="D16" s="464"/>
    </row>
    <row r="17" spans="1:4" x14ac:dyDescent="0.2">
      <c r="A17" s="463">
        <v>4</v>
      </c>
      <c r="B17" s="327"/>
      <c r="C17" s="327">
        <v>30</v>
      </c>
      <c r="D17" s="464"/>
    </row>
    <row r="18" spans="1:4" x14ac:dyDescent="0.2">
      <c r="A18" s="463">
        <v>5</v>
      </c>
      <c r="B18" s="327">
        <v>15</v>
      </c>
      <c r="C18" s="327">
        <v>51</v>
      </c>
      <c r="D18" s="464"/>
    </row>
    <row r="19" spans="1:4" x14ac:dyDescent="0.2">
      <c r="A19" s="463">
        <v>6</v>
      </c>
      <c r="B19" s="327"/>
      <c r="C19" s="327">
        <v>18</v>
      </c>
      <c r="D19" s="464"/>
    </row>
    <row r="20" spans="1:4" x14ac:dyDescent="0.2">
      <c r="A20" s="463"/>
      <c r="B20" s="463"/>
      <c r="C20" s="463"/>
      <c r="D20" s="464"/>
    </row>
    <row r="21" spans="1:4" x14ac:dyDescent="0.2">
      <c r="A21" s="463"/>
      <c r="B21" s="464"/>
      <c r="C21" s="464"/>
      <c r="D21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91"/>
  <sheetViews>
    <sheetView topLeftCell="A53" zoomScaleNormal="100" workbookViewId="0">
      <selection activeCell="E95" sqref="E95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1" t="s">
        <v>158</v>
      </c>
    </row>
    <row r="2" spans="1:18" ht="18" x14ac:dyDescent="0.25">
      <c r="A2" s="511"/>
    </row>
    <row r="3" spans="1:18" x14ac:dyDescent="0.2">
      <c r="A3" s="515" t="s">
        <v>194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">
      <c r="A4" s="463"/>
      <c r="B4" s="463" t="s">
        <v>189</v>
      </c>
      <c r="C4" s="463" t="s">
        <v>190</v>
      </c>
      <c r="D4" s="463" t="s">
        <v>191</v>
      </c>
      <c r="E4" s="463" t="s">
        <v>192</v>
      </c>
      <c r="F4" s="463"/>
      <c r="G4" s="463" t="s">
        <v>193</v>
      </c>
      <c r="H4" s="463"/>
      <c r="I4" s="463" t="s">
        <v>196</v>
      </c>
      <c r="J4" s="539"/>
      <c r="K4" s="463" t="s">
        <v>195</v>
      </c>
      <c r="L4" s="539"/>
      <c r="M4" s="463" t="s">
        <v>197</v>
      </c>
      <c r="N4" s="539"/>
      <c r="O4" s="539"/>
      <c r="P4" s="539"/>
      <c r="Q4" s="539"/>
      <c r="R4" s="464"/>
    </row>
    <row r="5" spans="1:18" x14ac:dyDescent="0.2">
      <c r="A5" s="463" t="s">
        <v>90</v>
      </c>
      <c r="B5" s="539">
        <v>0</v>
      </c>
      <c r="C5" s="539">
        <v>0</v>
      </c>
      <c r="D5" s="539">
        <v>0</v>
      </c>
      <c r="E5" s="539">
        <v>0</v>
      </c>
      <c r="F5" s="537"/>
      <c r="G5" s="539">
        <v>0</v>
      </c>
      <c r="H5" s="537"/>
      <c r="I5" s="539">
        <v>0</v>
      </c>
      <c r="J5" s="537"/>
      <c r="K5" s="539">
        <v>0</v>
      </c>
      <c r="L5" s="537"/>
      <c r="M5" s="539">
        <v>0</v>
      </c>
      <c r="N5" s="537"/>
      <c r="O5" s="537"/>
      <c r="P5" s="537"/>
      <c r="Q5" s="537"/>
      <c r="R5" s="464"/>
    </row>
    <row r="6" spans="1:18" x14ac:dyDescent="0.2">
      <c r="A6" s="463">
        <v>53</v>
      </c>
      <c r="B6" s="327"/>
      <c r="C6" s="327"/>
      <c r="D6" s="327"/>
      <c r="E6" s="327"/>
      <c r="F6" s="539"/>
      <c r="G6" s="327"/>
      <c r="H6" s="539"/>
      <c r="I6" s="327"/>
      <c r="J6" s="539"/>
      <c r="K6" s="327"/>
      <c r="L6" s="539"/>
      <c r="M6" s="327"/>
      <c r="N6" s="537"/>
      <c r="O6" s="537"/>
      <c r="P6" s="537"/>
      <c r="Q6" s="537"/>
      <c r="R6" s="464"/>
    </row>
    <row r="7" spans="1:18" x14ac:dyDescent="0.2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39"/>
      <c r="O7" s="539"/>
      <c r="P7" s="539"/>
      <c r="Q7" s="539"/>
      <c r="R7" s="464"/>
    </row>
    <row r="8" spans="1:18" ht="18" x14ac:dyDescent="0.25">
      <c r="A8" s="511"/>
    </row>
    <row r="9" spans="1:18" x14ac:dyDescent="0.2">
      <c r="A9" s="515" t="s">
        <v>159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82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83</v>
      </c>
      <c r="K10" s="463" t="s">
        <v>39</v>
      </c>
      <c r="L10" s="463" t="s">
        <v>84</v>
      </c>
      <c r="M10" s="463" t="s">
        <v>24</v>
      </c>
      <c r="N10" s="463" t="s">
        <v>38</v>
      </c>
      <c r="O10" s="463" t="s">
        <v>36</v>
      </c>
      <c r="P10" s="463" t="s">
        <v>85</v>
      </c>
      <c r="Q10" s="463" t="s">
        <v>69</v>
      </c>
      <c r="R10" s="464"/>
    </row>
    <row r="11" spans="1:18" x14ac:dyDescent="0.2">
      <c r="A11" s="463">
        <v>1</v>
      </c>
      <c r="D11">
        <v>1</v>
      </c>
      <c r="G11">
        <v>2</v>
      </c>
      <c r="H11">
        <v>1</v>
      </c>
      <c r="I11">
        <v>1</v>
      </c>
      <c r="J11">
        <v>1</v>
      </c>
      <c r="N11">
        <v>6</v>
      </c>
      <c r="R11" s="464"/>
    </row>
    <row r="12" spans="1:18" x14ac:dyDescent="0.2">
      <c r="A12" s="463">
        <v>2</v>
      </c>
      <c r="R12" s="464"/>
    </row>
    <row r="13" spans="1:18" x14ac:dyDescent="0.2">
      <c r="A13" s="463">
        <v>3</v>
      </c>
      <c r="R13" s="464"/>
    </row>
    <row r="14" spans="1:18" x14ac:dyDescent="0.2">
      <c r="A14" s="463">
        <v>4</v>
      </c>
      <c r="R14" s="464"/>
    </row>
    <row r="15" spans="1:18" x14ac:dyDescent="0.2">
      <c r="A15" s="463">
        <v>5</v>
      </c>
      <c r="B15">
        <v>1</v>
      </c>
      <c r="G15">
        <v>1</v>
      </c>
      <c r="N15">
        <v>6</v>
      </c>
      <c r="P15">
        <v>1</v>
      </c>
      <c r="R15" s="464"/>
    </row>
    <row r="16" spans="1:18" x14ac:dyDescent="0.2">
      <c r="A16" s="463">
        <v>6</v>
      </c>
      <c r="H16">
        <v>1</v>
      </c>
      <c r="I16">
        <v>1</v>
      </c>
      <c r="N16">
        <v>1</v>
      </c>
      <c r="P16">
        <v>5</v>
      </c>
      <c r="R16" s="464"/>
    </row>
    <row r="17" spans="1:18" x14ac:dyDescent="0.2">
      <c r="A17" s="463"/>
      <c r="B17" s="463"/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  <c r="Q17" s="463"/>
      <c r="R17" s="464"/>
    </row>
    <row r="18" spans="1:18" hidden="1" x14ac:dyDescent="0.2">
      <c r="A18" s="463"/>
      <c r="B18" s="463">
        <f>SUM(B12:B14)</f>
        <v>0</v>
      </c>
      <c r="C18" s="463">
        <f t="shared" ref="C18:Q18" si="0">SUM(C12:C14)</f>
        <v>0</v>
      </c>
      <c r="D18" s="463">
        <f t="shared" si="0"/>
        <v>0</v>
      </c>
      <c r="E18" s="463">
        <f t="shared" si="0"/>
        <v>0</v>
      </c>
      <c r="F18" s="463">
        <f t="shared" si="0"/>
        <v>0</v>
      </c>
      <c r="G18" s="463">
        <f t="shared" si="0"/>
        <v>0</v>
      </c>
      <c r="H18" s="463">
        <f t="shared" si="0"/>
        <v>0</v>
      </c>
      <c r="I18" s="463">
        <f t="shared" si="0"/>
        <v>0</v>
      </c>
      <c r="J18" s="463">
        <f t="shared" si="0"/>
        <v>0</v>
      </c>
      <c r="K18" s="463">
        <f t="shared" si="0"/>
        <v>0</v>
      </c>
      <c r="L18" s="463">
        <f t="shared" si="0"/>
        <v>0</v>
      </c>
      <c r="M18" s="463">
        <f t="shared" si="0"/>
        <v>0</v>
      </c>
      <c r="N18" s="463">
        <f t="shared" si="0"/>
        <v>0</v>
      </c>
      <c r="O18" s="463">
        <f t="shared" si="0"/>
        <v>0</v>
      </c>
      <c r="P18" s="463">
        <f t="shared" si="0"/>
        <v>0</v>
      </c>
      <c r="Q18" s="463">
        <f t="shared" si="0"/>
        <v>0</v>
      </c>
      <c r="R18" s="464"/>
    </row>
    <row r="19" spans="1:18" hidden="1" x14ac:dyDescent="0.2">
      <c r="A19" s="463"/>
      <c r="B19" s="463">
        <f>SUM(B11:B15)</f>
        <v>1</v>
      </c>
      <c r="C19" s="463">
        <f t="shared" ref="C19:Q19" si="1">SUM(C11:C15)</f>
        <v>0</v>
      </c>
      <c r="D19" s="463">
        <f t="shared" si="1"/>
        <v>1</v>
      </c>
      <c r="E19" s="463">
        <f t="shared" si="1"/>
        <v>0</v>
      </c>
      <c r="F19" s="463">
        <f t="shared" si="1"/>
        <v>0</v>
      </c>
      <c r="G19" s="463">
        <f t="shared" si="1"/>
        <v>3</v>
      </c>
      <c r="H19" s="463">
        <f t="shared" si="1"/>
        <v>1</v>
      </c>
      <c r="I19" s="463">
        <f t="shared" si="1"/>
        <v>1</v>
      </c>
      <c r="J19" s="463">
        <f t="shared" si="1"/>
        <v>1</v>
      </c>
      <c r="K19" s="463">
        <f t="shared" si="1"/>
        <v>0</v>
      </c>
      <c r="L19" s="463">
        <f t="shared" si="1"/>
        <v>0</v>
      </c>
      <c r="M19" s="463">
        <f t="shared" si="1"/>
        <v>0</v>
      </c>
      <c r="N19" s="463">
        <f t="shared" si="1"/>
        <v>12</v>
      </c>
      <c r="O19" s="463">
        <f t="shared" si="1"/>
        <v>0</v>
      </c>
      <c r="P19" s="463">
        <f t="shared" si="1"/>
        <v>1</v>
      </c>
      <c r="Q19" s="463">
        <f t="shared" si="1"/>
        <v>0</v>
      </c>
      <c r="R19" s="464"/>
    </row>
    <row r="21" spans="1:18" x14ac:dyDescent="0.2">
      <c r="A21" s="515" t="s">
        <v>28</v>
      </c>
      <c r="B21" s="465"/>
      <c r="C21" s="470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92"/>
    </row>
    <row r="22" spans="1:18" x14ac:dyDescent="0.2">
      <c r="A22" s="463" t="s">
        <v>22</v>
      </c>
      <c r="B22" s="463" t="s">
        <v>25</v>
      </c>
      <c r="C22" s="463" t="s">
        <v>37</v>
      </c>
      <c r="D22" s="463" t="s">
        <v>35</v>
      </c>
      <c r="E22" s="463" t="s">
        <v>82</v>
      </c>
      <c r="F22" s="463" t="s">
        <v>23</v>
      </c>
      <c r="G22" s="463" t="s">
        <v>26</v>
      </c>
      <c r="H22" s="463" t="s">
        <v>65</v>
      </c>
      <c r="I22" s="463" t="s">
        <v>66</v>
      </c>
      <c r="J22" s="463" t="s">
        <v>83</v>
      </c>
      <c r="K22" s="463" t="s">
        <v>39</v>
      </c>
      <c r="L22" s="463" t="s">
        <v>84</v>
      </c>
      <c r="M22" s="463" t="s">
        <v>24</v>
      </c>
      <c r="N22" s="463" t="s">
        <v>38</v>
      </c>
      <c r="O22" s="463" t="s">
        <v>36</v>
      </c>
      <c r="P22" s="463" t="s">
        <v>85</v>
      </c>
      <c r="Q22" s="463" t="s">
        <v>69</v>
      </c>
      <c r="R22" s="464"/>
    </row>
    <row r="23" spans="1:18" x14ac:dyDescent="0.2">
      <c r="A23" s="463">
        <v>1</v>
      </c>
      <c r="B23">
        <v>1</v>
      </c>
      <c r="G23">
        <v>1</v>
      </c>
      <c r="H23">
        <v>2</v>
      </c>
      <c r="I23">
        <v>1</v>
      </c>
      <c r="K23">
        <v>2</v>
      </c>
      <c r="N23">
        <v>3</v>
      </c>
      <c r="P23">
        <v>4</v>
      </c>
      <c r="Q23">
        <v>1</v>
      </c>
      <c r="R23" s="464"/>
    </row>
    <row r="24" spans="1:18" x14ac:dyDescent="0.2">
      <c r="A24" s="463">
        <v>2</v>
      </c>
      <c r="R24" s="464"/>
    </row>
    <row r="25" spans="1:18" x14ac:dyDescent="0.2">
      <c r="A25" s="463">
        <v>3</v>
      </c>
      <c r="R25" s="464"/>
    </row>
    <row r="26" spans="1:18" x14ac:dyDescent="0.2">
      <c r="A26" s="463">
        <v>4</v>
      </c>
      <c r="N26">
        <v>1</v>
      </c>
      <c r="P26">
        <v>1</v>
      </c>
      <c r="R26" s="464"/>
    </row>
    <row r="27" spans="1:18" x14ac:dyDescent="0.2">
      <c r="A27" s="463">
        <v>5</v>
      </c>
      <c r="H27">
        <v>1</v>
      </c>
      <c r="I27">
        <v>1</v>
      </c>
      <c r="N27">
        <v>4</v>
      </c>
      <c r="O27">
        <v>1</v>
      </c>
      <c r="P27">
        <v>1</v>
      </c>
      <c r="R27" s="464"/>
    </row>
    <row r="28" spans="1:18" x14ac:dyDescent="0.2">
      <c r="A28" s="463">
        <v>6</v>
      </c>
      <c r="B28">
        <v>1</v>
      </c>
      <c r="G28">
        <v>2</v>
      </c>
      <c r="N28">
        <v>2</v>
      </c>
      <c r="P28">
        <v>1</v>
      </c>
      <c r="R28" s="464"/>
    </row>
    <row r="29" spans="1:18" x14ac:dyDescent="0.2">
      <c r="A29" s="463"/>
      <c r="B29" s="463"/>
      <c r="C29" s="463"/>
      <c r="D29" s="463"/>
      <c r="E29" s="463"/>
      <c r="F29" s="463"/>
      <c r="G29" s="463"/>
      <c r="H29" s="463"/>
      <c r="I29" s="463"/>
      <c r="J29" s="463"/>
      <c r="K29" s="463"/>
      <c r="L29" s="463"/>
      <c r="M29" s="463"/>
      <c r="N29" s="463"/>
      <c r="O29" s="463"/>
      <c r="P29" s="463"/>
      <c r="Q29" s="463"/>
      <c r="R29" s="464"/>
    </row>
    <row r="30" spans="1:18" hidden="1" x14ac:dyDescent="0.2">
      <c r="A30" s="463"/>
      <c r="B30" s="463">
        <f t="shared" ref="B30:Q30" si="2">SUM(B24:B26)</f>
        <v>0</v>
      </c>
      <c r="C30" s="463">
        <f t="shared" si="2"/>
        <v>0</v>
      </c>
      <c r="D30" s="463">
        <f t="shared" si="2"/>
        <v>0</v>
      </c>
      <c r="E30" s="463">
        <f t="shared" si="2"/>
        <v>0</v>
      </c>
      <c r="F30" s="463">
        <f t="shared" si="2"/>
        <v>0</v>
      </c>
      <c r="G30" s="463">
        <f t="shared" si="2"/>
        <v>0</v>
      </c>
      <c r="H30" s="463">
        <f t="shared" si="2"/>
        <v>0</v>
      </c>
      <c r="I30" s="463">
        <f t="shared" si="2"/>
        <v>0</v>
      </c>
      <c r="J30" s="463">
        <f t="shared" si="2"/>
        <v>0</v>
      </c>
      <c r="K30" s="463">
        <f t="shared" si="2"/>
        <v>0</v>
      </c>
      <c r="L30" s="463">
        <f t="shared" si="2"/>
        <v>0</v>
      </c>
      <c r="M30" s="463">
        <f t="shared" si="2"/>
        <v>0</v>
      </c>
      <c r="N30" s="463">
        <f t="shared" si="2"/>
        <v>1</v>
      </c>
      <c r="O30" s="463">
        <f t="shared" si="2"/>
        <v>0</v>
      </c>
      <c r="P30" s="463">
        <f t="shared" si="2"/>
        <v>1</v>
      </c>
      <c r="Q30" s="463">
        <f t="shared" si="2"/>
        <v>0</v>
      </c>
      <c r="R30" s="464"/>
    </row>
    <row r="31" spans="1:18" hidden="1" x14ac:dyDescent="0.2">
      <c r="A31" s="463"/>
      <c r="B31" s="463">
        <f t="shared" ref="B31:Q31" si="3">SUM(B23:B27)</f>
        <v>1</v>
      </c>
      <c r="C31" s="463">
        <f t="shared" si="3"/>
        <v>0</v>
      </c>
      <c r="D31" s="463">
        <f t="shared" si="3"/>
        <v>0</v>
      </c>
      <c r="E31" s="463">
        <f t="shared" si="3"/>
        <v>0</v>
      </c>
      <c r="F31" s="463">
        <f t="shared" si="3"/>
        <v>0</v>
      </c>
      <c r="G31" s="463">
        <f t="shared" si="3"/>
        <v>1</v>
      </c>
      <c r="H31" s="463">
        <f t="shared" si="3"/>
        <v>3</v>
      </c>
      <c r="I31" s="463">
        <f t="shared" si="3"/>
        <v>2</v>
      </c>
      <c r="J31" s="463">
        <f t="shared" si="3"/>
        <v>0</v>
      </c>
      <c r="K31" s="463">
        <f t="shared" si="3"/>
        <v>2</v>
      </c>
      <c r="L31" s="463">
        <f t="shared" si="3"/>
        <v>0</v>
      </c>
      <c r="M31" s="463">
        <f t="shared" si="3"/>
        <v>0</v>
      </c>
      <c r="N31" s="463">
        <f t="shared" si="3"/>
        <v>8</v>
      </c>
      <c r="O31" s="463">
        <f t="shared" si="3"/>
        <v>1</v>
      </c>
      <c r="P31" s="463">
        <f t="shared" si="3"/>
        <v>6</v>
      </c>
      <c r="Q31" s="463">
        <f t="shared" si="3"/>
        <v>1</v>
      </c>
      <c r="R31" s="464"/>
    </row>
    <row r="33" spans="1:18" x14ac:dyDescent="0.2">
      <c r="A33" s="515" t="s">
        <v>160</v>
      </c>
      <c r="B33" s="465"/>
      <c r="C33" s="470"/>
      <c r="D33" s="465"/>
      <c r="E33" s="465"/>
      <c r="F33" s="465"/>
      <c r="G33" s="465"/>
      <c r="H33" s="465"/>
      <c r="I33" s="465"/>
      <c r="J33" s="465"/>
      <c r="K33" s="465"/>
      <c r="L33" s="465"/>
      <c r="M33" s="465"/>
      <c r="N33" s="465"/>
      <c r="O33" s="465"/>
      <c r="P33" s="465"/>
      <c r="Q33" s="465"/>
      <c r="R33" s="92"/>
    </row>
    <row r="34" spans="1:18" x14ac:dyDescent="0.2">
      <c r="A34" s="463" t="s">
        <v>22</v>
      </c>
      <c r="B34" s="463" t="s">
        <v>25</v>
      </c>
      <c r="C34" s="463" t="s">
        <v>37</v>
      </c>
      <c r="D34" s="463" t="s">
        <v>35</v>
      </c>
      <c r="E34" s="463" t="s">
        <v>82</v>
      </c>
      <c r="F34" s="463" t="s">
        <v>23</v>
      </c>
      <c r="G34" s="463" t="s">
        <v>26</v>
      </c>
      <c r="H34" s="463" t="s">
        <v>65</v>
      </c>
      <c r="I34" s="463" t="s">
        <v>66</v>
      </c>
      <c r="J34" s="463" t="s">
        <v>83</v>
      </c>
      <c r="K34" s="463" t="s">
        <v>39</v>
      </c>
      <c r="L34" s="463" t="s">
        <v>84</v>
      </c>
      <c r="M34" s="463" t="s">
        <v>24</v>
      </c>
      <c r="N34" s="463" t="s">
        <v>38</v>
      </c>
      <c r="O34" s="463" t="s">
        <v>36</v>
      </c>
      <c r="P34" s="463" t="s">
        <v>85</v>
      </c>
      <c r="Q34" s="463" t="s">
        <v>69</v>
      </c>
      <c r="R34" s="464"/>
    </row>
    <row r="35" spans="1:18" x14ac:dyDescent="0.2">
      <c r="A35" s="463">
        <v>1</v>
      </c>
      <c r="B35">
        <v>6</v>
      </c>
      <c r="C35">
        <v>1</v>
      </c>
      <c r="D35">
        <v>1</v>
      </c>
      <c r="E35">
        <v>2</v>
      </c>
      <c r="G35">
        <v>7</v>
      </c>
      <c r="H35">
        <v>9</v>
      </c>
      <c r="I35">
        <v>5</v>
      </c>
      <c r="J35">
        <v>2</v>
      </c>
      <c r="K35">
        <v>2</v>
      </c>
      <c r="L35">
        <v>1</v>
      </c>
      <c r="N35">
        <v>14</v>
      </c>
      <c r="P35">
        <v>10</v>
      </c>
      <c r="Q35">
        <v>1</v>
      </c>
      <c r="R35" s="464"/>
    </row>
    <row r="36" spans="1:18" x14ac:dyDescent="0.2">
      <c r="A36" s="463">
        <v>2</v>
      </c>
      <c r="G36">
        <v>1</v>
      </c>
      <c r="R36" s="464"/>
    </row>
    <row r="37" spans="1:18" x14ac:dyDescent="0.2">
      <c r="A37" s="463">
        <v>3</v>
      </c>
      <c r="R37" s="464"/>
    </row>
    <row r="38" spans="1:18" x14ac:dyDescent="0.2">
      <c r="A38" s="463">
        <v>4</v>
      </c>
      <c r="K38">
        <v>1</v>
      </c>
      <c r="N38">
        <v>1</v>
      </c>
      <c r="R38" s="464"/>
    </row>
    <row r="39" spans="1:18" x14ac:dyDescent="0.2">
      <c r="A39" s="463">
        <v>5</v>
      </c>
      <c r="B39">
        <v>1</v>
      </c>
      <c r="G39">
        <v>3</v>
      </c>
      <c r="H39">
        <v>1</v>
      </c>
      <c r="I39">
        <v>4</v>
      </c>
      <c r="N39">
        <v>12</v>
      </c>
      <c r="O39">
        <v>1</v>
      </c>
      <c r="P39">
        <v>4</v>
      </c>
      <c r="R39" s="464"/>
    </row>
    <row r="40" spans="1:18" x14ac:dyDescent="0.2">
      <c r="A40" s="463">
        <v>6</v>
      </c>
      <c r="B40">
        <v>1</v>
      </c>
      <c r="G40">
        <v>9</v>
      </c>
      <c r="H40">
        <v>3</v>
      </c>
      <c r="I40">
        <v>2</v>
      </c>
      <c r="K40">
        <v>2</v>
      </c>
      <c r="N40">
        <v>7</v>
      </c>
      <c r="P40">
        <v>7</v>
      </c>
      <c r="R40" s="464"/>
    </row>
    <row r="41" spans="1:18" x14ac:dyDescent="0.2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  <c r="Q41" s="463"/>
      <c r="R41" s="464"/>
    </row>
    <row r="42" spans="1:18" hidden="1" x14ac:dyDescent="0.2">
      <c r="A42" s="463"/>
      <c r="B42" s="463">
        <f>SUM(B36:B38)</f>
        <v>0</v>
      </c>
      <c r="C42" s="463">
        <f t="shared" ref="C42:Q42" si="4">SUM(C36:C38)</f>
        <v>0</v>
      </c>
      <c r="D42" s="463">
        <f t="shared" si="4"/>
        <v>0</v>
      </c>
      <c r="E42" s="463">
        <f t="shared" si="4"/>
        <v>0</v>
      </c>
      <c r="F42" s="463">
        <f t="shared" si="4"/>
        <v>0</v>
      </c>
      <c r="G42" s="463">
        <f t="shared" si="4"/>
        <v>1</v>
      </c>
      <c r="H42" s="463">
        <f t="shared" si="4"/>
        <v>0</v>
      </c>
      <c r="I42" s="463">
        <f t="shared" si="4"/>
        <v>0</v>
      </c>
      <c r="J42" s="463">
        <f t="shared" si="4"/>
        <v>0</v>
      </c>
      <c r="K42" s="463">
        <f t="shared" si="4"/>
        <v>1</v>
      </c>
      <c r="L42" s="463">
        <f t="shared" si="4"/>
        <v>0</v>
      </c>
      <c r="M42" s="463">
        <f t="shared" si="4"/>
        <v>0</v>
      </c>
      <c r="N42" s="463">
        <f t="shared" si="4"/>
        <v>1</v>
      </c>
      <c r="O42" s="463">
        <f t="shared" si="4"/>
        <v>0</v>
      </c>
      <c r="P42" s="463">
        <f t="shared" si="4"/>
        <v>0</v>
      </c>
      <c r="Q42" s="463">
        <f t="shared" si="4"/>
        <v>0</v>
      </c>
      <c r="R42" s="464"/>
    </row>
    <row r="43" spans="1:18" hidden="1" x14ac:dyDescent="0.2">
      <c r="A43" s="463"/>
      <c r="B43" s="463">
        <f>SUM(B35:B39)</f>
        <v>7</v>
      </c>
      <c r="C43" s="463">
        <f t="shared" ref="C43:Q43" si="5">SUM(C35:C39)</f>
        <v>1</v>
      </c>
      <c r="D43" s="463">
        <f t="shared" si="5"/>
        <v>1</v>
      </c>
      <c r="E43" s="463">
        <f t="shared" si="5"/>
        <v>2</v>
      </c>
      <c r="F43" s="463">
        <f t="shared" si="5"/>
        <v>0</v>
      </c>
      <c r="G43" s="463">
        <f t="shared" si="5"/>
        <v>11</v>
      </c>
      <c r="H43" s="463">
        <f t="shared" si="5"/>
        <v>10</v>
      </c>
      <c r="I43" s="463">
        <f t="shared" si="5"/>
        <v>9</v>
      </c>
      <c r="J43" s="463">
        <f t="shared" si="5"/>
        <v>2</v>
      </c>
      <c r="K43" s="463">
        <f t="shared" si="5"/>
        <v>3</v>
      </c>
      <c r="L43" s="463">
        <f t="shared" si="5"/>
        <v>1</v>
      </c>
      <c r="M43" s="463">
        <f t="shared" si="5"/>
        <v>0</v>
      </c>
      <c r="N43" s="463">
        <f t="shared" si="5"/>
        <v>27</v>
      </c>
      <c r="O43" s="463">
        <f t="shared" si="5"/>
        <v>1</v>
      </c>
      <c r="P43" s="463">
        <f t="shared" si="5"/>
        <v>14</v>
      </c>
      <c r="Q43" s="463">
        <f t="shared" si="5"/>
        <v>1</v>
      </c>
      <c r="R43" s="464"/>
    </row>
    <row r="45" spans="1:18" x14ac:dyDescent="0.2">
      <c r="A45" s="515" t="s">
        <v>161</v>
      </c>
      <c r="B45" s="465"/>
      <c r="C45" s="470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92"/>
    </row>
    <row r="46" spans="1:18" x14ac:dyDescent="0.2">
      <c r="A46" s="463" t="s">
        <v>22</v>
      </c>
      <c r="B46" s="463" t="s">
        <v>25</v>
      </c>
      <c r="C46" s="463" t="s">
        <v>37</v>
      </c>
      <c r="D46" s="463" t="s">
        <v>35</v>
      </c>
      <c r="E46" s="463" t="s">
        <v>82</v>
      </c>
      <c r="F46" s="463" t="s">
        <v>23</v>
      </c>
      <c r="G46" s="463" t="s">
        <v>26</v>
      </c>
      <c r="H46" s="463" t="s">
        <v>65</v>
      </c>
      <c r="I46" s="463" t="s">
        <v>66</v>
      </c>
      <c r="J46" s="463" t="s">
        <v>83</v>
      </c>
      <c r="K46" s="463" t="s">
        <v>39</v>
      </c>
      <c r="L46" s="463" t="s">
        <v>84</v>
      </c>
      <c r="M46" s="463" t="s">
        <v>24</v>
      </c>
      <c r="N46" s="463" t="s">
        <v>38</v>
      </c>
      <c r="O46" s="463" t="s">
        <v>36</v>
      </c>
      <c r="P46" s="463" t="s">
        <v>85</v>
      </c>
      <c r="Q46" s="463" t="s">
        <v>69</v>
      </c>
      <c r="R46" s="464"/>
    </row>
    <row r="47" spans="1:18" x14ac:dyDescent="0.2">
      <c r="A47" s="463">
        <v>1</v>
      </c>
      <c r="B47">
        <v>7</v>
      </c>
      <c r="E47">
        <v>2</v>
      </c>
      <c r="G47">
        <v>8</v>
      </c>
      <c r="H47">
        <v>13</v>
      </c>
      <c r="I47">
        <v>6</v>
      </c>
      <c r="J47">
        <v>4</v>
      </c>
      <c r="K47">
        <v>2</v>
      </c>
      <c r="N47">
        <v>8</v>
      </c>
      <c r="P47">
        <v>7</v>
      </c>
      <c r="R47" s="464"/>
    </row>
    <row r="48" spans="1:18" x14ac:dyDescent="0.2">
      <c r="A48" s="463">
        <v>2</v>
      </c>
      <c r="R48" s="464"/>
    </row>
    <row r="49" spans="1:19" x14ac:dyDescent="0.2">
      <c r="A49" s="463">
        <v>3</v>
      </c>
      <c r="R49" s="464"/>
    </row>
    <row r="50" spans="1:19" x14ac:dyDescent="0.2">
      <c r="A50" s="463">
        <v>4</v>
      </c>
      <c r="P50">
        <v>1</v>
      </c>
      <c r="R50" s="464"/>
    </row>
    <row r="51" spans="1:19" x14ac:dyDescent="0.2">
      <c r="A51" s="463">
        <v>5</v>
      </c>
      <c r="B51">
        <v>2</v>
      </c>
      <c r="C51">
        <v>1</v>
      </c>
      <c r="G51">
        <v>7</v>
      </c>
      <c r="H51">
        <v>2</v>
      </c>
      <c r="I51">
        <v>1</v>
      </c>
      <c r="K51">
        <v>1</v>
      </c>
      <c r="M51">
        <v>2</v>
      </c>
      <c r="N51">
        <v>6</v>
      </c>
      <c r="R51" s="464"/>
    </row>
    <row r="52" spans="1:19" x14ac:dyDescent="0.2">
      <c r="A52" s="463">
        <v>6</v>
      </c>
      <c r="F52">
        <v>1</v>
      </c>
      <c r="G52">
        <v>9</v>
      </c>
      <c r="H52">
        <v>3</v>
      </c>
      <c r="I52">
        <v>3</v>
      </c>
      <c r="K52">
        <v>2</v>
      </c>
      <c r="N52">
        <v>5</v>
      </c>
      <c r="P52">
        <v>11</v>
      </c>
      <c r="Q52">
        <v>2</v>
      </c>
      <c r="R52" s="464"/>
    </row>
    <row r="53" spans="1:19" x14ac:dyDescent="0.2">
      <c r="A53" s="463"/>
      <c r="B53" s="463"/>
      <c r="C53" s="463"/>
      <c r="D53" s="463"/>
      <c r="E53" s="463"/>
      <c r="F53" s="463"/>
      <c r="G53" s="463"/>
      <c r="H53" s="463"/>
      <c r="I53" s="463"/>
      <c r="J53" s="463"/>
      <c r="K53" s="463"/>
      <c r="L53" s="463"/>
      <c r="M53" s="463"/>
      <c r="N53" s="463"/>
      <c r="O53" s="463"/>
      <c r="P53" s="463"/>
      <c r="Q53" s="463"/>
      <c r="R53" s="464"/>
    </row>
    <row r="54" spans="1:19" hidden="1" x14ac:dyDescent="0.2">
      <c r="A54" s="463"/>
      <c r="B54" s="463">
        <f>SUM(B48:B50)</f>
        <v>0</v>
      </c>
      <c r="C54" s="463">
        <f t="shared" ref="C54:Q54" si="6">SUM(C48:C50)</f>
        <v>0</v>
      </c>
      <c r="D54" s="463">
        <f t="shared" si="6"/>
        <v>0</v>
      </c>
      <c r="E54" s="463">
        <f t="shared" si="6"/>
        <v>0</v>
      </c>
      <c r="F54" s="463">
        <f t="shared" si="6"/>
        <v>0</v>
      </c>
      <c r="G54" s="463">
        <f t="shared" si="6"/>
        <v>0</v>
      </c>
      <c r="H54" s="463">
        <f t="shared" si="6"/>
        <v>0</v>
      </c>
      <c r="I54" s="463">
        <f t="shared" si="6"/>
        <v>0</v>
      </c>
      <c r="J54" s="463">
        <f t="shared" si="6"/>
        <v>0</v>
      </c>
      <c r="K54" s="463">
        <f t="shared" si="6"/>
        <v>0</v>
      </c>
      <c r="L54" s="463">
        <f t="shared" si="6"/>
        <v>0</v>
      </c>
      <c r="M54" s="463">
        <f t="shared" si="6"/>
        <v>0</v>
      </c>
      <c r="N54" s="463">
        <f t="shared" si="6"/>
        <v>0</v>
      </c>
      <c r="O54" s="463">
        <f t="shared" si="6"/>
        <v>0</v>
      </c>
      <c r="P54" s="463">
        <f t="shared" si="6"/>
        <v>1</v>
      </c>
      <c r="Q54" s="463">
        <f t="shared" si="6"/>
        <v>0</v>
      </c>
      <c r="R54" s="464"/>
    </row>
    <row r="55" spans="1:19" hidden="1" x14ac:dyDescent="0.2">
      <c r="A55" s="463"/>
      <c r="B55" s="463">
        <f>SUM(B47:B51)</f>
        <v>9</v>
      </c>
      <c r="C55" s="463">
        <f t="shared" ref="C55:Q55" si="7">SUM(C47:C51)</f>
        <v>1</v>
      </c>
      <c r="D55" s="463">
        <f t="shared" si="7"/>
        <v>0</v>
      </c>
      <c r="E55" s="463">
        <f t="shared" si="7"/>
        <v>2</v>
      </c>
      <c r="F55" s="463">
        <f t="shared" si="7"/>
        <v>0</v>
      </c>
      <c r="G55" s="463">
        <f t="shared" si="7"/>
        <v>15</v>
      </c>
      <c r="H55" s="463">
        <f t="shared" si="7"/>
        <v>15</v>
      </c>
      <c r="I55" s="463">
        <f t="shared" si="7"/>
        <v>7</v>
      </c>
      <c r="J55" s="463">
        <f t="shared" si="7"/>
        <v>4</v>
      </c>
      <c r="K55" s="463">
        <f t="shared" si="7"/>
        <v>3</v>
      </c>
      <c r="L55" s="463">
        <f t="shared" si="7"/>
        <v>0</v>
      </c>
      <c r="M55" s="463">
        <f t="shared" si="7"/>
        <v>2</v>
      </c>
      <c r="N55" s="463">
        <f t="shared" si="7"/>
        <v>14</v>
      </c>
      <c r="O55" s="463">
        <f t="shared" si="7"/>
        <v>0</v>
      </c>
      <c r="P55" s="463">
        <f t="shared" si="7"/>
        <v>8</v>
      </c>
      <c r="Q55" s="463">
        <f t="shared" si="7"/>
        <v>0</v>
      </c>
      <c r="R55" s="464"/>
    </row>
    <row r="57" spans="1:19" x14ac:dyDescent="0.2">
      <c r="A57" s="515" t="s">
        <v>180</v>
      </c>
      <c r="B57" s="465"/>
      <c r="C57" s="470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92"/>
    </row>
    <row r="58" spans="1:19" x14ac:dyDescent="0.2">
      <c r="A58" s="463" t="s">
        <v>22</v>
      </c>
      <c r="B58" s="463" t="s">
        <v>25</v>
      </c>
      <c r="C58" s="463" t="s">
        <v>37</v>
      </c>
      <c r="D58" s="463" t="s">
        <v>35</v>
      </c>
      <c r="E58" s="463" t="s">
        <v>82</v>
      </c>
      <c r="F58" s="463" t="s">
        <v>23</v>
      </c>
      <c r="G58" s="463" t="s">
        <v>26</v>
      </c>
      <c r="H58" s="463" t="s">
        <v>65</v>
      </c>
      <c r="I58" s="463" t="s">
        <v>66</v>
      </c>
      <c r="J58" s="463" t="s">
        <v>83</v>
      </c>
      <c r="K58" s="463" t="s">
        <v>39</v>
      </c>
      <c r="L58" s="463" t="s">
        <v>84</v>
      </c>
      <c r="M58" s="463" t="s">
        <v>24</v>
      </c>
      <c r="N58" s="463" t="s">
        <v>38</v>
      </c>
      <c r="O58" s="463" t="s">
        <v>36</v>
      </c>
      <c r="P58" s="463" t="s">
        <v>85</v>
      </c>
      <c r="Q58" s="463" t="s">
        <v>69</v>
      </c>
      <c r="R58" s="464"/>
    </row>
    <row r="59" spans="1:19" s="530" customFormat="1" x14ac:dyDescent="0.2">
      <c r="A59" s="528">
        <v>1</v>
      </c>
      <c r="B59">
        <v>31</v>
      </c>
      <c r="C59">
        <v>5</v>
      </c>
      <c r="D59">
        <v>1</v>
      </c>
      <c r="E59">
        <v>9</v>
      </c>
      <c r="F59">
        <v>1</v>
      </c>
      <c r="G59">
        <v>45</v>
      </c>
      <c r="H59">
        <v>44</v>
      </c>
      <c r="I59">
        <v>14</v>
      </c>
      <c r="J59">
        <v>10</v>
      </c>
      <c r="K59">
        <v>13</v>
      </c>
      <c r="L59">
        <v>1</v>
      </c>
      <c r="M59"/>
      <c r="N59">
        <v>62</v>
      </c>
      <c r="O59">
        <v>1</v>
      </c>
      <c r="P59">
        <v>39</v>
      </c>
      <c r="Q59">
        <v>2</v>
      </c>
      <c r="R59" s="529"/>
      <c r="S59"/>
    </row>
    <row r="60" spans="1:19" x14ac:dyDescent="0.2">
      <c r="A60" s="463">
        <v>2</v>
      </c>
      <c r="B60">
        <v>1</v>
      </c>
      <c r="G60">
        <v>1</v>
      </c>
      <c r="R60" s="464"/>
    </row>
    <row r="61" spans="1:19" x14ac:dyDescent="0.2">
      <c r="A61" s="463">
        <v>3</v>
      </c>
      <c r="R61" s="464"/>
    </row>
    <row r="62" spans="1:19" x14ac:dyDescent="0.2">
      <c r="A62" s="463">
        <v>4</v>
      </c>
      <c r="H62">
        <v>1</v>
      </c>
      <c r="K62">
        <v>1</v>
      </c>
      <c r="N62">
        <v>1</v>
      </c>
      <c r="P62">
        <v>1</v>
      </c>
      <c r="R62" s="464"/>
    </row>
    <row r="63" spans="1:19" x14ac:dyDescent="0.2">
      <c r="A63" s="463">
        <v>5</v>
      </c>
      <c r="B63">
        <v>8</v>
      </c>
      <c r="C63">
        <v>1</v>
      </c>
      <c r="D63">
        <v>1</v>
      </c>
      <c r="E63">
        <v>1</v>
      </c>
      <c r="F63">
        <v>1</v>
      </c>
      <c r="G63">
        <v>22</v>
      </c>
      <c r="H63">
        <v>12</v>
      </c>
      <c r="I63">
        <v>10</v>
      </c>
      <c r="J63">
        <v>3</v>
      </c>
      <c r="K63">
        <v>2</v>
      </c>
      <c r="M63">
        <v>2</v>
      </c>
      <c r="N63">
        <v>24</v>
      </c>
      <c r="O63">
        <v>1</v>
      </c>
      <c r="P63">
        <v>15</v>
      </c>
      <c r="Q63">
        <v>1</v>
      </c>
      <c r="R63" s="464"/>
    </row>
    <row r="64" spans="1:19" x14ac:dyDescent="0.2">
      <c r="A64" s="463">
        <v>6</v>
      </c>
      <c r="B64">
        <v>6</v>
      </c>
      <c r="E64">
        <v>1</v>
      </c>
      <c r="F64">
        <v>2</v>
      </c>
      <c r="G64">
        <v>35</v>
      </c>
      <c r="H64">
        <v>14</v>
      </c>
      <c r="I64">
        <v>9</v>
      </c>
      <c r="J64">
        <v>0</v>
      </c>
      <c r="K64">
        <v>5</v>
      </c>
      <c r="L64">
        <v>0</v>
      </c>
      <c r="M64">
        <v>0</v>
      </c>
      <c r="N64">
        <v>23</v>
      </c>
      <c r="O64">
        <v>0</v>
      </c>
      <c r="P64">
        <v>42</v>
      </c>
      <c r="Q64">
        <v>2</v>
      </c>
      <c r="R64" s="464"/>
    </row>
    <row r="65" spans="1:18" x14ac:dyDescent="0.2">
      <c r="A65" s="463"/>
      <c r="B65" s="463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  <c r="Q65" s="463"/>
      <c r="R65" s="464"/>
    </row>
    <row r="66" spans="1:18" hidden="1" x14ac:dyDescent="0.2">
      <c r="A66" s="463"/>
      <c r="B66" s="463">
        <f t="shared" ref="B66:Q66" si="8">SUM(B60:B62)</f>
        <v>1</v>
      </c>
      <c r="C66" s="463">
        <f t="shared" si="8"/>
        <v>0</v>
      </c>
      <c r="D66" s="463">
        <f t="shared" si="8"/>
        <v>0</v>
      </c>
      <c r="E66" s="463">
        <f t="shared" si="8"/>
        <v>0</v>
      </c>
      <c r="F66" s="463">
        <f t="shared" si="8"/>
        <v>0</v>
      </c>
      <c r="G66" s="463">
        <f t="shared" si="8"/>
        <v>1</v>
      </c>
      <c r="H66" s="463">
        <f t="shared" si="8"/>
        <v>1</v>
      </c>
      <c r="I66" s="463">
        <f t="shared" si="8"/>
        <v>0</v>
      </c>
      <c r="J66" s="463">
        <f t="shared" si="8"/>
        <v>0</v>
      </c>
      <c r="K66" s="463">
        <f t="shared" si="8"/>
        <v>1</v>
      </c>
      <c r="L66" s="463">
        <f t="shared" si="8"/>
        <v>0</v>
      </c>
      <c r="M66" s="463">
        <f t="shared" si="8"/>
        <v>0</v>
      </c>
      <c r="N66" s="463">
        <f t="shared" si="8"/>
        <v>1</v>
      </c>
      <c r="O66" s="463">
        <f t="shared" si="8"/>
        <v>0</v>
      </c>
      <c r="P66" s="463">
        <f t="shared" si="8"/>
        <v>1</v>
      </c>
      <c r="Q66" s="463">
        <f t="shared" si="8"/>
        <v>0</v>
      </c>
      <c r="R66" s="464"/>
    </row>
    <row r="67" spans="1:18" hidden="1" x14ac:dyDescent="0.2">
      <c r="A67" s="463"/>
      <c r="B67" s="463">
        <f t="shared" ref="B67:Q67" si="9">SUM(B59:B63)</f>
        <v>40</v>
      </c>
      <c r="C67" s="463">
        <f t="shared" si="9"/>
        <v>6</v>
      </c>
      <c r="D67" s="463">
        <f t="shared" si="9"/>
        <v>2</v>
      </c>
      <c r="E67" s="463">
        <f t="shared" si="9"/>
        <v>10</v>
      </c>
      <c r="F67" s="463">
        <f t="shared" si="9"/>
        <v>2</v>
      </c>
      <c r="G67" s="463">
        <f t="shared" si="9"/>
        <v>68</v>
      </c>
      <c r="H67" s="463">
        <f t="shared" si="9"/>
        <v>57</v>
      </c>
      <c r="I67" s="463">
        <f t="shared" si="9"/>
        <v>24</v>
      </c>
      <c r="J67" s="463">
        <f t="shared" si="9"/>
        <v>13</v>
      </c>
      <c r="K67" s="463">
        <f t="shared" si="9"/>
        <v>16</v>
      </c>
      <c r="L67" s="463">
        <f t="shared" si="9"/>
        <v>1</v>
      </c>
      <c r="M67" s="463">
        <f t="shared" si="9"/>
        <v>2</v>
      </c>
      <c r="N67" s="463">
        <f t="shared" si="9"/>
        <v>87</v>
      </c>
      <c r="O67" s="463">
        <f t="shared" si="9"/>
        <v>2</v>
      </c>
      <c r="P67" s="463">
        <f t="shared" si="9"/>
        <v>55</v>
      </c>
      <c r="Q67" s="463">
        <f t="shared" si="9"/>
        <v>3</v>
      </c>
      <c r="R67" s="464"/>
    </row>
    <row r="69" spans="1:18" x14ac:dyDescent="0.2">
      <c r="A69" s="515" t="s">
        <v>162</v>
      </c>
      <c r="B69" s="465"/>
      <c r="C69" s="470"/>
      <c r="D69" s="465"/>
      <c r="E69" s="465"/>
      <c r="F69" s="465"/>
      <c r="G69" s="465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92"/>
    </row>
    <row r="70" spans="1:18" x14ac:dyDescent="0.2">
      <c r="A70" s="463" t="s">
        <v>22</v>
      </c>
      <c r="B70" s="463" t="s">
        <v>25</v>
      </c>
      <c r="C70" s="463" t="s">
        <v>37</v>
      </c>
      <c r="D70" s="463" t="s">
        <v>35</v>
      </c>
      <c r="E70" s="463" t="s">
        <v>82</v>
      </c>
      <c r="F70" s="463" t="s">
        <v>23</v>
      </c>
      <c r="G70" s="463" t="s">
        <v>26</v>
      </c>
      <c r="H70" s="463" t="s">
        <v>65</v>
      </c>
      <c r="I70" s="463" t="s">
        <v>66</v>
      </c>
      <c r="J70" s="463" t="s">
        <v>83</v>
      </c>
      <c r="K70" s="463" t="s">
        <v>39</v>
      </c>
      <c r="L70" s="463" t="s">
        <v>84</v>
      </c>
      <c r="M70" s="463" t="s">
        <v>24</v>
      </c>
      <c r="N70" s="463" t="s">
        <v>38</v>
      </c>
      <c r="O70" s="463" t="s">
        <v>36</v>
      </c>
      <c r="P70" s="463" t="s">
        <v>85</v>
      </c>
      <c r="Q70" s="463" t="s">
        <v>69</v>
      </c>
      <c r="R70" s="464"/>
    </row>
    <row r="71" spans="1:18" ht="15" x14ac:dyDescent="0.25">
      <c r="A71" s="463">
        <v>1</v>
      </c>
      <c r="B71" s="648">
        <v>34</v>
      </c>
      <c r="C71" s="648">
        <v>10</v>
      </c>
      <c r="D71" s="648">
        <v>5</v>
      </c>
      <c r="E71" s="648">
        <v>5</v>
      </c>
      <c r="F71" s="648">
        <v>1</v>
      </c>
      <c r="G71" s="648">
        <v>70</v>
      </c>
      <c r="H71" s="648">
        <v>30</v>
      </c>
      <c r="I71" s="648">
        <v>21</v>
      </c>
      <c r="J71" s="648">
        <v>7</v>
      </c>
      <c r="K71" s="648">
        <v>3</v>
      </c>
      <c r="L71" s="648">
        <v>1</v>
      </c>
      <c r="M71" s="648">
        <v>2</v>
      </c>
      <c r="N71" s="648">
        <v>68</v>
      </c>
      <c r="O71" s="648">
        <v>4</v>
      </c>
      <c r="P71" s="648">
        <v>42</v>
      </c>
      <c r="Q71" s="648">
        <v>8</v>
      </c>
      <c r="R71" s="464"/>
    </row>
    <row r="72" spans="1:18" ht="15" x14ac:dyDescent="0.25">
      <c r="A72" s="463">
        <v>2</v>
      </c>
      <c r="B72" s="648">
        <v>0</v>
      </c>
      <c r="C72" s="648">
        <v>0</v>
      </c>
      <c r="D72" s="648">
        <v>0</v>
      </c>
      <c r="E72" s="648">
        <v>0</v>
      </c>
      <c r="F72" s="648">
        <v>0</v>
      </c>
      <c r="G72" s="648">
        <v>0</v>
      </c>
      <c r="H72" s="648">
        <v>0</v>
      </c>
      <c r="I72" s="648">
        <v>1</v>
      </c>
      <c r="J72" s="648">
        <v>0</v>
      </c>
      <c r="K72" s="648">
        <v>0</v>
      </c>
      <c r="L72" s="648">
        <v>0</v>
      </c>
      <c r="M72" s="648">
        <v>0</v>
      </c>
      <c r="N72" s="648">
        <v>0</v>
      </c>
      <c r="O72" s="648">
        <v>0</v>
      </c>
      <c r="P72" s="648">
        <v>0</v>
      </c>
      <c r="Q72" s="648">
        <v>0</v>
      </c>
      <c r="R72" s="464"/>
    </row>
    <row r="73" spans="1:18" x14ac:dyDescent="0.2">
      <c r="A73" s="463">
        <v>3</v>
      </c>
      <c r="R73" s="464"/>
    </row>
    <row r="74" spans="1:18" ht="15" x14ac:dyDescent="0.25">
      <c r="A74" s="463">
        <v>4</v>
      </c>
      <c r="B74" s="649">
        <v>0</v>
      </c>
      <c r="C74" s="649">
        <v>0</v>
      </c>
      <c r="D74" s="649">
        <v>0</v>
      </c>
      <c r="E74" s="649">
        <v>0</v>
      </c>
      <c r="F74" s="649">
        <v>0</v>
      </c>
      <c r="G74" s="649">
        <v>0</v>
      </c>
      <c r="H74" s="649">
        <v>0</v>
      </c>
      <c r="I74" s="649">
        <v>0</v>
      </c>
      <c r="J74" s="649">
        <v>0</v>
      </c>
      <c r="K74" s="649">
        <v>0</v>
      </c>
      <c r="L74" s="649">
        <v>0</v>
      </c>
      <c r="M74" s="649">
        <v>0</v>
      </c>
      <c r="N74" s="649">
        <v>1</v>
      </c>
      <c r="O74" s="649">
        <v>0</v>
      </c>
      <c r="P74" s="649">
        <v>0</v>
      </c>
      <c r="Q74" s="649">
        <v>0</v>
      </c>
      <c r="R74" s="464"/>
    </row>
    <row r="75" spans="1:18" ht="15" x14ac:dyDescent="0.25">
      <c r="A75" s="463">
        <v>5</v>
      </c>
      <c r="B75" s="649">
        <v>7</v>
      </c>
      <c r="C75" s="649">
        <v>2</v>
      </c>
      <c r="D75" s="649">
        <v>1</v>
      </c>
      <c r="E75" s="649">
        <v>0</v>
      </c>
      <c r="F75" s="649">
        <v>0</v>
      </c>
      <c r="G75" s="649">
        <v>22</v>
      </c>
      <c r="H75" s="649">
        <v>18</v>
      </c>
      <c r="I75" s="649">
        <v>8</v>
      </c>
      <c r="J75" s="649">
        <v>1</v>
      </c>
      <c r="K75" s="649">
        <v>10</v>
      </c>
      <c r="L75" s="649">
        <v>3</v>
      </c>
      <c r="M75" s="649">
        <v>1</v>
      </c>
      <c r="N75" s="649">
        <v>17</v>
      </c>
      <c r="O75" s="649">
        <v>0</v>
      </c>
      <c r="P75" s="649">
        <v>28</v>
      </c>
      <c r="Q75" s="649">
        <v>1</v>
      </c>
      <c r="R75" s="464"/>
    </row>
    <row r="76" spans="1:18" ht="15" x14ac:dyDescent="0.25">
      <c r="A76" s="463">
        <v>6</v>
      </c>
      <c r="B76" s="649">
        <v>4</v>
      </c>
      <c r="C76" s="649">
        <v>3</v>
      </c>
      <c r="D76" s="649">
        <v>0</v>
      </c>
      <c r="E76" s="649">
        <v>4</v>
      </c>
      <c r="F76" s="649">
        <v>1</v>
      </c>
      <c r="G76" s="649">
        <v>27</v>
      </c>
      <c r="H76" s="649">
        <v>16</v>
      </c>
      <c r="I76" s="649">
        <v>9</v>
      </c>
      <c r="J76" s="649">
        <v>3</v>
      </c>
      <c r="K76" s="649">
        <v>1</v>
      </c>
      <c r="L76" s="649">
        <v>0</v>
      </c>
      <c r="M76" s="649">
        <v>1</v>
      </c>
      <c r="N76" s="649">
        <v>20</v>
      </c>
      <c r="O76" s="649">
        <v>0</v>
      </c>
      <c r="P76" s="649">
        <v>34</v>
      </c>
      <c r="Q76" s="649">
        <v>0</v>
      </c>
      <c r="R76" s="464"/>
    </row>
    <row r="77" spans="1:18" x14ac:dyDescent="0.2">
      <c r="A77" s="463"/>
      <c r="B77" s="463"/>
      <c r="C77" s="463"/>
      <c r="D77" s="463"/>
      <c r="E77" s="463"/>
      <c r="F77" s="463"/>
      <c r="G77" s="463"/>
      <c r="H77" s="463"/>
      <c r="I77" s="463"/>
      <c r="J77" s="463"/>
      <c r="K77" s="463"/>
      <c r="L77" s="463"/>
      <c r="M77" s="463"/>
      <c r="N77" s="463"/>
      <c r="O77" s="463"/>
      <c r="P77" s="463"/>
      <c r="Q77" s="463"/>
      <c r="R77" s="464"/>
    </row>
    <row r="78" spans="1:18" hidden="1" x14ac:dyDescent="0.2">
      <c r="A78" s="463"/>
      <c r="B78" s="463">
        <f>SUM(B72:B74)</f>
        <v>0</v>
      </c>
      <c r="C78" s="463">
        <f t="shared" ref="C78:Q78" si="10">SUM(C72:C74)</f>
        <v>0</v>
      </c>
      <c r="D78" s="463">
        <f t="shared" si="10"/>
        <v>0</v>
      </c>
      <c r="E78" s="463">
        <f t="shared" si="10"/>
        <v>0</v>
      </c>
      <c r="F78" s="463">
        <f t="shared" si="10"/>
        <v>0</v>
      </c>
      <c r="G78" s="463">
        <f t="shared" si="10"/>
        <v>0</v>
      </c>
      <c r="H78" s="463">
        <f t="shared" si="10"/>
        <v>0</v>
      </c>
      <c r="I78" s="463">
        <f t="shared" si="10"/>
        <v>1</v>
      </c>
      <c r="J78" s="463">
        <f t="shared" si="10"/>
        <v>0</v>
      </c>
      <c r="K78" s="463">
        <f t="shared" si="10"/>
        <v>0</v>
      </c>
      <c r="L78" s="463">
        <f t="shared" si="10"/>
        <v>0</v>
      </c>
      <c r="M78" s="463">
        <f t="shared" si="10"/>
        <v>0</v>
      </c>
      <c r="N78" s="463">
        <f t="shared" si="10"/>
        <v>1</v>
      </c>
      <c r="O78" s="463">
        <f t="shared" si="10"/>
        <v>0</v>
      </c>
      <c r="P78" s="463">
        <f t="shared" si="10"/>
        <v>0</v>
      </c>
      <c r="Q78" s="463">
        <f t="shared" si="10"/>
        <v>0</v>
      </c>
      <c r="R78" s="464"/>
    </row>
    <row r="79" spans="1:18" hidden="1" x14ac:dyDescent="0.2">
      <c r="A79" s="463"/>
      <c r="B79" s="463">
        <f>SUM(B71:B75)</f>
        <v>41</v>
      </c>
      <c r="C79" s="463">
        <f t="shared" ref="C79:Q79" si="11">SUM(C71:C75)</f>
        <v>12</v>
      </c>
      <c r="D79" s="463">
        <f t="shared" si="11"/>
        <v>6</v>
      </c>
      <c r="E79" s="463">
        <f t="shared" si="11"/>
        <v>5</v>
      </c>
      <c r="F79" s="463">
        <f t="shared" si="11"/>
        <v>1</v>
      </c>
      <c r="G79" s="463">
        <f t="shared" si="11"/>
        <v>92</v>
      </c>
      <c r="H79" s="463">
        <f t="shared" si="11"/>
        <v>48</v>
      </c>
      <c r="I79" s="463">
        <f t="shared" si="11"/>
        <v>30</v>
      </c>
      <c r="J79" s="463">
        <f t="shared" si="11"/>
        <v>8</v>
      </c>
      <c r="K79" s="463">
        <f t="shared" si="11"/>
        <v>13</v>
      </c>
      <c r="L79" s="463">
        <f t="shared" si="11"/>
        <v>4</v>
      </c>
      <c r="M79" s="463">
        <f t="shared" si="11"/>
        <v>3</v>
      </c>
      <c r="N79" s="463">
        <f t="shared" si="11"/>
        <v>86</v>
      </c>
      <c r="O79" s="463">
        <f t="shared" si="11"/>
        <v>4</v>
      </c>
      <c r="P79" s="463">
        <f t="shared" si="11"/>
        <v>70</v>
      </c>
      <c r="Q79" s="463">
        <f t="shared" si="11"/>
        <v>9</v>
      </c>
      <c r="R79" s="464"/>
    </row>
    <row r="81" spans="1:18" x14ac:dyDescent="0.2">
      <c r="A81" s="515" t="s">
        <v>163</v>
      </c>
      <c r="B81" s="465"/>
      <c r="C81" s="470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92"/>
    </row>
    <row r="82" spans="1:18" x14ac:dyDescent="0.2">
      <c r="A82" s="463" t="s">
        <v>22</v>
      </c>
      <c r="B82" s="463" t="s">
        <v>25</v>
      </c>
      <c r="C82" s="463" t="s">
        <v>37</v>
      </c>
      <c r="D82" s="463" t="s">
        <v>35</v>
      </c>
      <c r="E82" s="463" t="s">
        <v>82</v>
      </c>
      <c r="F82" s="463" t="s">
        <v>23</v>
      </c>
      <c r="G82" s="463" t="s">
        <v>26</v>
      </c>
      <c r="H82" s="463" t="s">
        <v>65</v>
      </c>
      <c r="I82" s="463" t="s">
        <v>66</v>
      </c>
      <c r="J82" s="463" t="s">
        <v>83</v>
      </c>
      <c r="K82" s="463" t="s">
        <v>39</v>
      </c>
      <c r="L82" s="463" t="s">
        <v>84</v>
      </c>
      <c r="M82" s="463" t="s">
        <v>24</v>
      </c>
      <c r="N82" s="463" t="s">
        <v>38</v>
      </c>
      <c r="O82" s="463" t="s">
        <v>36</v>
      </c>
      <c r="P82" s="463" t="s">
        <v>85</v>
      </c>
      <c r="Q82" s="463" t="s">
        <v>69</v>
      </c>
      <c r="R82" s="464"/>
    </row>
    <row r="83" spans="1:18" ht="15" x14ac:dyDescent="0.25">
      <c r="A83" s="463">
        <v>1</v>
      </c>
      <c r="B83" s="650">
        <v>23</v>
      </c>
      <c r="C83" s="650">
        <v>3</v>
      </c>
      <c r="D83" s="650">
        <v>1</v>
      </c>
      <c r="E83" s="650">
        <v>2</v>
      </c>
      <c r="F83" s="650">
        <v>0</v>
      </c>
      <c r="G83" s="650">
        <v>50</v>
      </c>
      <c r="H83" s="650">
        <v>22</v>
      </c>
      <c r="I83" s="650">
        <v>19</v>
      </c>
      <c r="J83" s="650">
        <v>5</v>
      </c>
      <c r="K83" s="650">
        <v>7</v>
      </c>
      <c r="L83" s="650"/>
      <c r="M83" s="650">
        <v>1</v>
      </c>
      <c r="N83" s="650">
        <v>40</v>
      </c>
      <c r="O83" s="650">
        <v>0</v>
      </c>
      <c r="P83" s="650">
        <v>59</v>
      </c>
      <c r="Q83" s="650">
        <v>4</v>
      </c>
      <c r="R83" s="464"/>
    </row>
    <row r="84" spans="1:18" ht="15" x14ac:dyDescent="0.25">
      <c r="A84" s="463">
        <v>2</v>
      </c>
      <c r="B84" s="650">
        <v>0</v>
      </c>
      <c r="C84" s="650">
        <v>0</v>
      </c>
      <c r="D84" s="650">
        <v>0</v>
      </c>
      <c r="E84" s="650">
        <v>0</v>
      </c>
      <c r="F84" s="650">
        <v>0</v>
      </c>
      <c r="G84" s="650">
        <v>0</v>
      </c>
      <c r="H84" s="650">
        <v>0</v>
      </c>
      <c r="I84" s="650">
        <v>1</v>
      </c>
      <c r="J84" s="650">
        <v>1</v>
      </c>
      <c r="K84" s="650">
        <v>0</v>
      </c>
      <c r="L84" s="650"/>
      <c r="M84" s="650">
        <v>0</v>
      </c>
      <c r="N84" s="650">
        <v>1</v>
      </c>
      <c r="O84" s="650">
        <v>0</v>
      </c>
      <c r="P84" s="650">
        <v>0</v>
      </c>
      <c r="Q84" s="650">
        <v>0</v>
      </c>
      <c r="R84" s="464"/>
    </row>
    <row r="85" spans="1:18" x14ac:dyDescent="0.2">
      <c r="A85" s="463">
        <v>3</v>
      </c>
      <c r="R85" s="464"/>
    </row>
    <row r="86" spans="1:18" ht="15" x14ac:dyDescent="0.25">
      <c r="A86" s="463">
        <v>4</v>
      </c>
      <c r="B86" s="651">
        <v>0</v>
      </c>
      <c r="C86" s="651">
        <v>0</v>
      </c>
      <c r="D86" s="651">
        <v>0</v>
      </c>
      <c r="E86" s="651">
        <v>0</v>
      </c>
      <c r="F86" s="651">
        <v>0</v>
      </c>
      <c r="G86" s="651">
        <v>0</v>
      </c>
      <c r="H86" s="651">
        <v>0</v>
      </c>
      <c r="I86" s="651">
        <v>1</v>
      </c>
      <c r="J86" s="651">
        <v>0</v>
      </c>
      <c r="K86" s="651">
        <v>0</v>
      </c>
      <c r="L86" s="651"/>
      <c r="M86" s="651">
        <v>0</v>
      </c>
      <c r="N86" s="651">
        <v>1</v>
      </c>
      <c r="O86" s="651">
        <v>0</v>
      </c>
      <c r="P86" s="651">
        <v>0</v>
      </c>
      <c r="Q86" s="651">
        <v>0</v>
      </c>
      <c r="R86" s="464"/>
    </row>
    <row r="87" spans="1:18" ht="15" x14ac:dyDescent="0.25">
      <c r="A87" s="463">
        <v>5</v>
      </c>
      <c r="B87" s="651">
        <v>4</v>
      </c>
      <c r="C87" s="651">
        <v>2</v>
      </c>
      <c r="D87" s="651">
        <v>0</v>
      </c>
      <c r="E87" s="651">
        <v>3</v>
      </c>
      <c r="F87" s="651">
        <v>1</v>
      </c>
      <c r="G87" s="651">
        <v>16</v>
      </c>
      <c r="H87" s="651">
        <v>14</v>
      </c>
      <c r="I87" s="651">
        <v>7</v>
      </c>
      <c r="J87" s="651">
        <v>1</v>
      </c>
      <c r="K87" s="651">
        <v>3</v>
      </c>
      <c r="L87" s="651"/>
      <c r="M87" s="651">
        <v>0</v>
      </c>
      <c r="N87" s="651">
        <v>14</v>
      </c>
      <c r="O87" s="651">
        <v>1</v>
      </c>
      <c r="P87" s="651">
        <v>11</v>
      </c>
      <c r="Q87" s="651">
        <v>4</v>
      </c>
      <c r="R87" s="464"/>
    </row>
    <row r="88" spans="1:18" ht="15" x14ac:dyDescent="0.25">
      <c r="A88" s="463">
        <v>6</v>
      </c>
      <c r="B88" s="651">
        <v>4</v>
      </c>
      <c r="C88" s="651">
        <v>1</v>
      </c>
      <c r="D88" s="651">
        <v>3</v>
      </c>
      <c r="E88" s="651">
        <v>0</v>
      </c>
      <c r="F88" s="651">
        <v>0</v>
      </c>
      <c r="G88" s="651">
        <v>11</v>
      </c>
      <c r="H88" s="651">
        <v>14</v>
      </c>
      <c r="I88" s="651">
        <v>7</v>
      </c>
      <c r="J88" s="651">
        <v>1</v>
      </c>
      <c r="K88" s="651">
        <v>2</v>
      </c>
      <c r="L88" s="651"/>
      <c r="M88" s="651">
        <v>1</v>
      </c>
      <c r="N88" s="651">
        <v>33</v>
      </c>
      <c r="O88" s="651">
        <v>2</v>
      </c>
      <c r="P88" s="651">
        <v>65</v>
      </c>
      <c r="Q88" s="651">
        <v>1</v>
      </c>
      <c r="R88" s="464"/>
    </row>
    <row r="89" spans="1:18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3"/>
      <c r="P89" s="463"/>
      <c r="Q89" s="463"/>
      <c r="R89" s="464"/>
    </row>
    <row r="90" spans="1:18" hidden="1" x14ac:dyDescent="0.2">
      <c r="A90" s="463"/>
      <c r="B90" s="463">
        <f>SUM(B84:B86)</f>
        <v>0</v>
      </c>
      <c r="C90" s="463">
        <f t="shared" ref="C90:N90" si="12">SUM(C84:C86)</f>
        <v>0</v>
      </c>
      <c r="D90" s="463">
        <f t="shared" si="12"/>
        <v>0</v>
      </c>
      <c r="E90" s="463">
        <f t="shared" si="12"/>
        <v>0</v>
      </c>
      <c r="F90" s="463">
        <f t="shared" si="12"/>
        <v>0</v>
      </c>
      <c r="G90" s="463">
        <f t="shared" si="12"/>
        <v>0</v>
      </c>
      <c r="H90" s="463">
        <f t="shared" si="12"/>
        <v>0</v>
      </c>
      <c r="I90" s="463">
        <f t="shared" si="12"/>
        <v>2</v>
      </c>
      <c r="J90" s="463">
        <f t="shared" si="12"/>
        <v>1</v>
      </c>
      <c r="K90" s="463">
        <f t="shared" si="12"/>
        <v>0</v>
      </c>
      <c r="L90" s="463">
        <f t="shared" si="12"/>
        <v>0</v>
      </c>
      <c r="M90" s="463">
        <f t="shared" si="12"/>
        <v>0</v>
      </c>
      <c r="N90" s="463">
        <f t="shared" si="12"/>
        <v>2</v>
      </c>
      <c r="O90" s="463">
        <f>SUM(O84:O86)</f>
        <v>0</v>
      </c>
      <c r="P90" s="463">
        <f>SUM(P84:P86)</f>
        <v>0</v>
      </c>
      <c r="Q90" s="463">
        <f>SUM(R84:R86)</f>
        <v>0</v>
      </c>
      <c r="R90" s="464"/>
    </row>
    <row r="91" spans="1:18" hidden="1" x14ac:dyDescent="0.2">
      <c r="A91" s="463"/>
      <c r="B91" s="463">
        <f>SUM(B83:B87)</f>
        <v>27</v>
      </c>
      <c r="C91" s="463">
        <f t="shared" ref="C91:N91" si="13">SUM(C83:C87)</f>
        <v>5</v>
      </c>
      <c r="D91" s="463">
        <f t="shared" si="13"/>
        <v>1</v>
      </c>
      <c r="E91" s="463">
        <f t="shared" si="13"/>
        <v>5</v>
      </c>
      <c r="F91" s="463">
        <f t="shared" si="13"/>
        <v>1</v>
      </c>
      <c r="G91" s="463">
        <f t="shared" si="13"/>
        <v>66</v>
      </c>
      <c r="H91" s="463">
        <f t="shared" si="13"/>
        <v>36</v>
      </c>
      <c r="I91" s="463">
        <f t="shared" si="13"/>
        <v>28</v>
      </c>
      <c r="J91" s="463">
        <f t="shared" si="13"/>
        <v>7</v>
      </c>
      <c r="K91" s="463">
        <f t="shared" si="13"/>
        <v>10</v>
      </c>
      <c r="L91" s="463">
        <f t="shared" si="13"/>
        <v>0</v>
      </c>
      <c r="M91" s="463">
        <f t="shared" si="13"/>
        <v>1</v>
      </c>
      <c r="N91" s="463">
        <f t="shared" si="13"/>
        <v>56</v>
      </c>
      <c r="O91" s="463">
        <f>SUM(O83:O87)</f>
        <v>1</v>
      </c>
      <c r="P91" s="463">
        <f>SUM(P83:P87)</f>
        <v>70</v>
      </c>
      <c r="Q91" s="463">
        <f>SUM(R83:R87)</f>
        <v>0</v>
      </c>
      <c r="R91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tabSelected="1" zoomScaleNormal="100"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10</v>
      </c>
      <c r="H3" s="221" t="s">
        <v>156</v>
      </c>
      <c r="I3" s="221"/>
      <c r="N3" s="216"/>
    </row>
    <row r="4" spans="1:27" ht="19.5" customHeight="1" x14ac:dyDescent="0.3">
      <c r="A4" s="216"/>
      <c r="C4" s="220" t="s">
        <v>11</v>
      </c>
      <c r="H4" s="222" t="s">
        <v>155</v>
      </c>
      <c r="I4" s="223"/>
      <c r="N4" s="216"/>
    </row>
    <row r="5" spans="1:27" ht="18.75" customHeight="1" x14ac:dyDescent="0.3">
      <c r="A5" s="216"/>
      <c r="C5" s="220" t="s">
        <v>232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233</v>
      </c>
      <c r="D10" s="250" t="s">
        <v>222</v>
      </c>
      <c r="E10" s="600" t="s">
        <v>181</v>
      </c>
      <c r="F10" s="252" t="s">
        <v>234</v>
      </c>
      <c r="G10" s="253">
        <v>42826</v>
      </c>
      <c r="H10" s="600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">
      <c r="A11" s="226"/>
      <c r="B11" s="261" t="s">
        <v>0</v>
      </c>
      <c r="C11" s="568">
        <f>'West Chatham'!C11+Downtown!C11+Central!C11+Southside!C11+Islands!C11+Whitefield!C11</f>
        <v>3</v>
      </c>
      <c r="D11" s="263">
        <f>'West Chatham'!D11+Downtown!D11+Central!D11+Southside!D11+Islands!D11+Whitefield!D11</f>
        <v>0</v>
      </c>
      <c r="E11" s="534">
        <f>'West Chatham'!E11+Downtown!E11+Central!E11+Southside!E11+Islands!E11+Whitefield!E11</f>
        <v>0.95628415300546454</v>
      </c>
      <c r="F11" s="265">
        <f>'West Chatham'!F11+Downtown!F11+Central!F11+Southside!F11+Islands!F11+Whitefield!F11</f>
        <v>3</v>
      </c>
      <c r="G11" s="263">
        <f>'West Chatham'!G11+Downtown!G11+Central!G11+Southside!G11+Islands!G11+Whitefield!G11</f>
        <v>3</v>
      </c>
      <c r="H11" s="534">
        <f>'West Chatham'!H11+Downtown!H11+Central!H11+Southside!H11+Islands!H11+Whitefield!H11</f>
        <v>3.8251366120218582</v>
      </c>
      <c r="I11" s="570">
        <f>'West Chatham'!I11+Downtown!I11+Central!I11+Southside!I11+Islands!I11+Whitefield!I11</f>
        <v>14</v>
      </c>
      <c r="J11" s="558">
        <f>'West Chatham'!J11+Downtown!J11+Central!J11+Southside!J11+Islands!J11+Whitefield!J11</f>
        <v>20</v>
      </c>
      <c r="K11" s="266">
        <f>'West Chatham'!K11+Downtown!K11+Central!K11+Southside!K11+Islands!K11+Whitefield!K11</f>
        <v>11</v>
      </c>
      <c r="L11" s="267">
        <f t="shared" ref="L11:L18" si="0">I11-J11</f>
        <v>-6</v>
      </c>
      <c r="M11" s="268">
        <f t="shared" ref="M11:M18" si="1">I11-K11</f>
        <v>3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198</v>
      </c>
      <c r="C12" s="568">
        <f>'West Chatham'!C12+Downtown!C12+Central!C12+Southside!C12+Islands!C12+Whitefield!C12</f>
        <v>2</v>
      </c>
      <c r="D12" s="263">
        <f>'West Chatham'!D12+Downtown!D12+Central!D12+Southside!D12+Islands!D12+Whitefield!D12</f>
        <v>1</v>
      </c>
      <c r="E12" s="534">
        <f>'West Chatham'!E12+Downtown!E12+Central!E12+Southside!E12+Islands!E12+Whitefield!E12</f>
        <v>0.97540983606557374</v>
      </c>
      <c r="F12" s="265">
        <f>'West Chatham'!F12+Downtown!F12+Central!F12+Southside!F12+Islands!F12+Whitefield!F12</f>
        <v>6</v>
      </c>
      <c r="G12" s="263">
        <f>'West Chatham'!G12+Downtown!G12+Central!G12+Southside!G12+Islands!G12+Whitefield!G12</f>
        <v>4</v>
      </c>
      <c r="H12" s="534">
        <f>'West Chatham'!H12+Downtown!H12+Central!H12+Southside!H12+Islands!H12+Whitefield!H12</f>
        <v>3.901639344262295</v>
      </c>
      <c r="I12" s="570">
        <f>'West Chatham'!I12+Downtown!I12+Central!I12+Southside!I12+Islands!I12+Whitefield!I12</f>
        <v>15</v>
      </c>
      <c r="J12" s="558">
        <f>'West Chatham'!J12+Downtown!J12+Central!J12+Southside!J12+Islands!J12+Whitefield!J12</f>
        <v>21</v>
      </c>
      <c r="K12" s="266">
        <f>'West Chatham'!K12+Downtown!K12+Central!K12+Southside!K12+Islands!K12+Whitefield!K12</f>
        <v>17</v>
      </c>
      <c r="L12" s="267">
        <f t="shared" si="0"/>
        <v>-6</v>
      </c>
      <c r="M12" s="270">
        <f t="shared" si="1"/>
        <v>-2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200</v>
      </c>
      <c r="C13" s="568">
        <f>'West Chatham'!C13+Downtown!C13+Central!C13+Southside!C13+Islands!C13+Whitefield!C13</f>
        <v>0</v>
      </c>
      <c r="D13" s="263">
        <f>'West Chatham'!D13+Downtown!D13+Central!D13+Southside!D13+Islands!D13+Whitefield!D13</f>
        <v>1</v>
      </c>
      <c r="E13" s="534">
        <f>'West Chatham'!E13+Downtown!E13+Central!E13+Southside!E13+Islands!E13+Whitefield!E13</f>
        <v>1.3993712104199414</v>
      </c>
      <c r="F13" s="265">
        <f>'West Chatham'!F13+Downtown!F13+Central!F13+Southside!F13+Islands!F13+Whitefield!F13</f>
        <v>2</v>
      </c>
      <c r="G13" s="263">
        <f>'West Chatham'!G13+Downtown!G13+Central!G13+Southside!G13+Islands!G13+Whitefield!G13</f>
        <v>7</v>
      </c>
      <c r="H13" s="534">
        <f>'West Chatham'!H13+Downtown!H13+Central!H13+Southside!H13+Islands!H13+Whitefield!H13</f>
        <v>5.5974848416797656</v>
      </c>
      <c r="I13" s="570">
        <f>'West Chatham'!I13+Downtown!I13+Central!I13+Southside!I13+Islands!I13+Whitefield!I13</f>
        <v>20</v>
      </c>
      <c r="J13" s="558">
        <f>'West Chatham'!J13+Downtown!J13+Central!J13+Southside!J13+Islands!J13+Whitefield!J13</f>
        <v>18</v>
      </c>
      <c r="K13" s="266">
        <f>'West Chatham'!K13+Downtown!K13+Central!K13+Southside!K13+Islands!K13+Whitefield!K13</f>
        <v>8</v>
      </c>
      <c r="L13" s="267">
        <f t="shared" ref="L13" si="6">I13-J13</f>
        <v>2</v>
      </c>
      <c r="M13" s="270">
        <f t="shared" ref="M13" si="7">I13-K13</f>
        <v>12</v>
      </c>
      <c r="N13" s="231"/>
    </row>
    <row r="14" spans="1:27" x14ac:dyDescent="0.2">
      <c r="A14" s="226"/>
      <c r="B14" s="269" t="s">
        <v>29</v>
      </c>
      <c r="C14" s="568">
        <f>'West Chatham'!C14+Downtown!C14+Central!C14+Southside!C14+Islands!C14+Whitefield!C14</f>
        <v>4</v>
      </c>
      <c r="D14" s="263">
        <f>'West Chatham'!D14+Downtown!D14+Central!D14+Southside!D14+Islands!D14+Whitefield!D14</f>
        <v>0</v>
      </c>
      <c r="E14" s="534">
        <f>'West Chatham'!E14+Downtown!E14+Central!E14+Southside!E14+Islands!E14+Whitefield!E14</f>
        <v>1.7021857923497266</v>
      </c>
      <c r="F14" s="265">
        <f>'West Chatham'!F14+Downtown!F14+Central!F14+Southside!F14+Islands!F14+Whitefield!F14</f>
        <v>9</v>
      </c>
      <c r="G14" s="263">
        <f>'West Chatham'!G14+Downtown!G14+Central!G14+Southside!G14+Islands!G14+Whitefield!G14</f>
        <v>4</v>
      </c>
      <c r="H14" s="534">
        <f>'West Chatham'!H14+Downtown!H14+Central!H14+Southside!H14+Islands!H14+Whitefield!H14</f>
        <v>6.8087431693989062</v>
      </c>
      <c r="I14" s="570">
        <f>'West Chatham'!I14+Downtown!I14+Central!I14+Southside!I14+Islands!I14+Whitefield!I14</f>
        <v>37</v>
      </c>
      <c r="J14" s="558">
        <f>'West Chatham'!J14+Downtown!J14+Central!J14+Southside!J14+Islands!J14+Whitefield!J14</f>
        <v>29</v>
      </c>
      <c r="K14" s="266">
        <f>'West Chatham'!K14+Downtown!K14+Central!K14+Southside!K14+Islands!K14+Whitefield!K14</f>
        <v>19</v>
      </c>
      <c r="L14" s="267">
        <f t="shared" si="0"/>
        <v>8</v>
      </c>
      <c r="M14" s="270">
        <f t="shared" si="1"/>
        <v>18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568">
        <f>'West Chatham'!C15+Downtown!C15+Central!C15+Southside!C15+Islands!C15+Whitefield!C15</f>
        <v>4</v>
      </c>
      <c r="D15" s="263">
        <f>'West Chatham'!D15+Downtown!D15+Central!D15+Southside!D15+Islands!D15+Whitefield!D15</f>
        <v>7</v>
      </c>
      <c r="E15" s="534">
        <f>'West Chatham'!E15+Downtown!E15+Central!E15+Southside!E15+Islands!E15+Whitefield!E15</f>
        <v>7.5737704918032795</v>
      </c>
      <c r="F15" s="265">
        <f>'West Chatham'!F15+Downtown!F15+Central!F15+Southside!F15+Islands!F15+Whitefield!F15</f>
        <v>18</v>
      </c>
      <c r="G15" s="263">
        <f>'West Chatham'!G15+Downtown!G15+Central!G15+Southside!G15+Islands!G15+Whitefield!G15</f>
        <v>15</v>
      </c>
      <c r="H15" s="534">
        <f>'West Chatham'!H15+Downtown!H15+Central!H15+Southside!H15+Islands!H15+Whitefield!H15</f>
        <v>30.295081967213118</v>
      </c>
      <c r="I15" s="570">
        <f>'West Chatham'!I15+Downtown!I15+Central!I15+Southside!I15+Islands!I15+Whitefield!I15</f>
        <v>73</v>
      </c>
      <c r="J15" s="558">
        <f>'West Chatham'!J15+Downtown!J15+Central!J15+Southside!J15+Islands!J15+Whitefield!J15</f>
        <v>124</v>
      </c>
      <c r="K15" s="266">
        <f>'West Chatham'!K15+Downtown!K15+Central!K15+Southside!K15+Islands!K15+Whitefield!K15</f>
        <v>90</v>
      </c>
      <c r="L15" s="267">
        <f t="shared" si="0"/>
        <v>-51</v>
      </c>
      <c r="M15" s="270">
        <f t="shared" si="1"/>
        <v>-17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568">
        <f>'West Chatham'!C16+Downtown!C16+Central!C16+Southside!C16+Islands!C16+Whitefield!C16</f>
        <v>2</v>
      </c>
      <c r="D16" s="263">
        <f>'West Chatham'!D16+Downtown!D16+Central!D16+Southside!D16+Islands!D16+Whitefield!D16</f>
        <v>3</v>
      </c>
      <c r="E16" s="534">
        <f>'West Chatham'!E16+Downtown!E16+Central!E16+Southside!E16+Islands!E16+Whitefield!E16</f>
        <v>0.93715846994535523</v>
      </c>
      <c r="F16" s="265">
        <f>'West Chatham'!F16+Downtown!F16+Central!F16+Southside!F16+Islands!F16+Whitefield!F16</f>
        <v>5</v>
      </c>
      <c r="G16" s="263">
        <f>'West Chatham'!G16+Downtown!G16+Central!G16+Southside!G16+Islands!G16+Whitefield!G16</f>
        <v>2</v>
      </c>
      <c r="H16" s="534">
        <f>'West Chatham'!H16+Downtown!H16+Central!H16+Southside!H16+Islands!H16+Whitefield!H16</f>
        <v>3.7486338797814209</v>
      </c>
      <c r="I16" s="570">
        <f>'West Chatham'!I16+Downtown!I16+Central!I16+Southside!I16+Islands!I16+Whitefield!I16</f>
        <v>11</v>
      </c>
      <c r="J16" s="558">
        <f>'West Chatham'!J16+Downtown!J16+Central!J16+Southside!J16+Islands!J16+Whitefield!J16</f>
        <v>13</v>
      </c>
      <c r="K16" s="266">
        <f>'West Chatham'!K16+Downtown!K16+Central!K16+Southside!K16+Islands!K16+Whitefield!K16</f>
        <v>17</v>
      </c>
      <c r="L16" s="267">
        <f t="shared" si="0"/>
        <v>-2</v>
      </c>
      <c r="M16" s="270">
        <f t="shared" si="1"/>
        <v>-6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568">
        <f>'West Chatham'!C17+Downtown!C17+Central!C17+Southside!C17+Islands!C17+Whitefield!C17</f>
        <v>9</v>
      </c>
      <c r="D17" s="263">
        <f>'West Chatham'!D17+Downtown!D17+Central!D17+Southside!D17+Islands!D17+Whitefield!D17</f>
        <v>9</v>
      </c>
      <c r="E17" s="534">
        <f>'West Chatham'!E17+Downtown!E17+Central!E17+Southside!E17+Islands!E17+Whitefield!E17</f>
        <v>5.3169398907103824</v>
      </c>
      <c r="F17" s="265">
        <f>'West Chatham'!F17+Downtown!F17+Central!F17+Southside!F17+Islands!F17+Whitefield!F17</f>
        <v>32</v>
      </c>
      <c r="G17" s="263">
        <f>'West Chatham'!G17+Downtown!G17+Central!G17+Southside!G17+Islands!G17+Whitefield!G17</f>
        <v>16</v>
      </c>
      <c r="H17" s="534">
        <f>'West Chatham'!H17+Downtown!H17+Central!H17+Southside!H17+Islands!H17+Whitefield!H17</f>
        <v>21.26775956284153</v>
      </c>
      <c r="I17" s="570">
        <f>'West Chatham'!I17+Downtown!I17+Central!I17+Southside!I17+Islands!I17+Whitefield!I17</f>
        <v>101</v>
      </c>
      <c r="J17" s="558">
        <f>'West Chatham'!J17+Downtown!J17+Central!J17+Southside!J17+Islands!J17+Whitefield!J17</f>
        <v>98</v>
      </c>
      <c r="K17" s="266">
        <f>'West Chatham'!K17+Downtown!K17+Central!K17+Southside!K17+Islands!K17+Whitefield!K17</f>
        <v>80</v>
      </c>
      <c r="L17" s="267">
        <f t="shared" si="0"/>
        <v>3</v>
      </c>
      <c r="M17" s="270">
        <f t="shared" si="1"/>
        <v>21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568">
        <f>'West Chatham'!C18+Downtown!C18+Central!C18+Southside!C18+Islands!C18+Whitefield!C18</f>
        <v>8</v>
      </c>
      <c r="D18" s="263">
        <f>'West Chatham'!D18+Downtown!D18+Central!D18+Southside!D18+Islands!D18+Whitefield!D18</f>
        <v>7</v>
      </c>
      <c r="E18" s="534">
        <f>'West Chatham'!E18+Downtown!E18+Central!E18+Southside!E18+Islands!E18+Whitefield!E18</f>
        <v>5.0491803278688527</v>
      </c>
      <c r="F18" s="265">
        <f>'West Chatham'!F18+Downtown!F18+Central!F18+Southside!F18+Islands!F18+Whitefield!F18</f>
        <v>28</v>
      </c>
      <c r="G18" s="263">
        <f>'West Chatham'!G18+Downtown!G18+Central!G18+Southside!G18+Islands!G18+Whitefield!G18</f>
        <v>20</v>
      </c>
      <c r="H18" s="534">
        <f>'West Chatham'!H18+Downtown!H18+Central!H18+Southside!H18+Islands!H18+Whitefield!H18</f>
        <v>20.196721311475411</v>
      </c>
      <c r="I18" s="570">
        <f>'West Chatham'!I18+Downtown!I18+Central!I18+Southside!I18+Islands!I18+Whitefield!I18</f>
        <v>83</v>
      </c>
      <c r="J18" s="558">
        <f>'West Chatham'!J18+Downtown!J18+Central!J18+Southside!J18+Islands!J18+Whitefield!J18</f>
        <v>76</v>
      </c>
      <c r="K18" s="266">
        <f>'West Chatham'!K18+Downtown!K18+Central!K18+Southside!K18+Islands!K18+Whitefield!K18</f>
        <v>44</v>
      </c>
      <c r="L18" s="267">
        <f t="shared" si="0"/>
        <v>7</v>
      </c>
      <c r="M18" s="270">
        <f t="shared" si="1"/>
        <v>39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32</v>
      </c>
      <c r="D19" s="273">
        <f t="shared" ref="D19:K19" si="10">SUM(D11:D18)</f>
        <v>28</v>
      </c>
      <c r="E19" s="274">
        <f t="shared" si="10"/>
        <v>23.910300172168579</v>
      </c>
      <c r="F19" s="560">
        <f t="shared" si="10"/>
        <v>103</v>
      </c>
      <c r="G19" s="273">
        <f t="shared" si="10"/>
        <v>71</v>
      </c>
      <c r="H19" s="274">
        <f t="shared" si="10"/>
        <v>95.641200688674317</v>
      </c>
      <c r="I19" s="275">
        <f t="shared" si="10"/>
        <v>354</v>
      </c>
      <c r="J19" s="273">
        <f t="shared" si="10"/>
        <v>399</v>
      </c>
      <c r="K19" s="274">
        <f t="shared" si="10"/>
        <v>286</v>
      </c>
      <c r="L19" s="276">
        <f>(I19-J19)/J19</f>
        <v>-0.11278195488721804</v>
      </c>
      <c r="M19" s="277">
        <f>(I19-K19)/K19</f>
        <v>0.23776223776223776</v>
      </c>
      <c r="N19" s="231"/>
    </row>
    <row r="20" spans="1:26" ht="7.5" customHeight="1" thickBot="1" x14ac:dyDescent="0.25">
      <c r="A20" s="226"/>
      <c r="B20" s="210"/>
      <c r="C20" s="278"/>
      <c r="D20" s="211"/>
      <c r="E20" s="599"/>
      <c r="F20" s="278"/>
      <c r="G20" s="211"/>
      <c r="H20" s="599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568">
        <f>'West Chatham'!C21+Downtown!C21+Central!C21+Southside!C21+Islands!C21+Whitefield!C21</f>
        <v>0</v>
      </c>
      <c r="D21" s="263">
        <f>'West Chatham'!D21+Downtown!D21+Central!D21+Southside!D21+Islands!D21+Whitefield!D21</f>
        <v>7</v>
      </c>
      <c r="E21" s="534">
        <f>'West Chatham'!E21+Downtown!E21+Central!E21+Southside!E21+Islands!E21+Whitefield!E21</f>
        <v>6.7513661202185791</v>
      </c>
      <c r="F21" s="265">
        <f>'West Chatham'!F21+Downtown!F21+Central!F21+Southside!F21+Islands!F21+Whitefield!F21</f>
        <v>18</v>
      </c>
      <c r="G21" s="263">
        <f>'West Chatham'!G21+Downtown!G21+Central!G21+Southside!G21+Islands!G21+Whitefield!G21</f>
        <v>11</v>
      </c>
      <c r="H21" s="534">
        <f>'West Chatham'!H21+Downtown!H21+Central!H21+Southside!H21+Islands!H21+Whitefield!H21</f>
        <v>27.005464480874316</v>
      </c>
      <c r="I21" s="570">
        <f>'West Chatham'!I21+Downtown!I21+Central!I21+Southside!I21+Islands!I21+Whitefield!I21</f>
        <v>59</v>
      </c>
      <c r="J21" s="558">
        <f>'West Chatham'!J21+Downtown!J21+Central!J21+Southside!J21+Islands!J21+Whitefield!J21</f>
        <v>101</v>
      </c>
      <c r="K21" s="266">
        <f>'West Chatham'!K21+Downtown!K21+Central!K21+Southside!K21+Islands!K21+Whitefield!K21</f>
        <v>79</v>
      </c>
      <c r="L21" s="267">
        <f>I21-J21</f>
        <v>-42</v>
      </c>
      <c r="M21" s="270">
        <f>I21-K21</f>
        <v>-20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568">
        <f>'West Chatham'!C22+Downtown!C22+Central!C22+Southside!C22+Islands!C22+Whitefield!C22</f>
        <v>27</v>
      </c>
      <c r="D22" s="263">
        <f>'West Chatham'!D22+Downtown!D22+Central!D22+Southside!D22+Islands!D22+Whitefield!D22</f>
        <v>22</v>
      </c>
      <c r="E22" s="534">
        <f>'West Chatham'!E22+Downtown!E22+Central!E22+Southside!E22+Islands!E22+Whitefield!E22</f>
        <v>28.726775956284154</v>
      </c>
      <c r="F22" s="265">
        <f>'West Chatham'!F22+Downtown!F22+Central!F22+Southside!F22+Islands!F22+Whitefield!F22</f>
        <v>87</v>
      </c>
      <c r="G22" s="263">
        <f>'West Chatham'!G22+Downtown!G22+Central!G22+Southside!G22+Islands!G22+Whitefield!G22</f>
        <v>72</v>
      </c>
      <c r="H22" s="534">
        <f>'West Chatham'!H22+Downtown!H22+Central!H22+Southside!H22+Islands!H22+Whitefield!H22</f>
        <v>114.90710382513662</v>
      </c>
      <c r="I22" s="570">
        <f>'West Chatham'!I22+Downtown!I22+Central!I22+Southside!I22+Islands!I22+Whitefield!I22</f>
        <v>358</v>
      </c>
      <c r="J22" s="558">
        <f>'West Chatham'!J22+Downtown!J22+Central!J22+Southside!J22+Islands!J22+Whitefield!J22</f>
        <v>426</v>
      </c>
      <c r="K22" s="266">
        <f>'West Chatham'!K22+Downtown!K22+Central!K22+Southside!K22+Islands!K22+Whitefield!K22</f>
        <v>395</v>
      </c>
      <c r="L22" s="267">
        <f t="shared" ref="L22:L29" si="11">I22-J22</f>
        <v>-68</v>
      </c>
      <c r="M22" s="270">
        <f t="shared" ref="M22:M28" si="12">I22-K22</f>
        <v>-37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568">
        <f>'West Chatham'!C23+Downtown!C23+Central!C23+Southside!C23+Islands!C23+Whitefield!C23</f>
        <v>4</v>
      </c>
      <c r="D23" s="263">
        <f>'West Chatham'!D23+Downtown!D23+Central!D23+Southside!D23+Islands!D23+Whitefield!D23</f>
        <v>2</v>
      </c>
      <c r="E23" s="534">
        <f>'West Chatham'!E23+Downtown!E23+Central!E23+Southside!E23+Islands!E23+Whitefield!E23</f>
        <v>2.1420765027322402</v>
      </c>
      <c r="F23" s="265">
        <f>'West Chatham'!F23+Downtown!F23+Central!F23+Southside!F23+Islands!F23+Whitefield!F23</f>
        <v>10</v>
      </c>
      <c r="G23" s="263">
        <f>'West Chatham'!G23+Downtown!G23+Central!G23+Southside!G23+Islands!G23+Whitefield!G23</f>
        <v>11</v>
      </c>
      <c r="H23" s="534">
        <f>'West Chatham'!H23+Downtown!H23+Central!H23+Southside!H23+Islands!H23+Whitefield!H23</f>
        <v>8.5683060109289606</v>
      </c>
      <c r="I23" s="570">
        <f>'West Chatham'!I23+Downtown!I23+Central!I23+Southside!I23+Islands!I23+Whitefield!I23</f>
        <v>38</v>
      </c>
      <c r="J23" s="558">
        <f>'West Chatham'!J23+Downtown!J23+Central!J23+Southside!J23+Islands!J23+Whitefield!J23</f>
        <v>34</v>
      </c>
      <c r="K23" s="266">
        <f>'West Chatham'!K23+Downtown!K23+Central!K23+Southside!K23+Islands!K23+Whitefield!K23</f>
        <v>31</v>
      </c>
      <c r="L23" s="267">
        <f t="shared" si="11"/>
        <v>4</v>
      </c>
      <c r="M23" s="270">
        <f t="shared" si="12"/>
        <v>7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568">
        <f>'West Chatham'!C24+Downtown!C24+Central!C24+Southside!C24+Islands!C24+Whitefield!C24</f>
        <v>34</v>
      </c>
      <c r="D24" s="263">
        <f>'West Chatham'!D24+Downtown!D24+Central!D24+Southside!D24+Islands!D24+Whitefield!D24</f>
        <v>30</v>
      </c>
      <c r="E24" s="534">
        <f>'West Chatham'!E24+Downtown!E24+Central!E24+Southside!E24+Islands!E24+Whitefield!E24</f>
        <v>31.461748633879779</v>
      </c>
      <c r="F24" s="265">
        <f>'West Chatham'!F24+Downtown!F24+Central!F24+Southside!F24+Islands!F24+Whitefield!F24</f>
        <v>127</v>
      </c>
      <c r="G24" s="263">
        <f>'West Chatham'!G24+Downtown!G24+Central!G24+Southside!G24+Islands!G24+Whitefield!G24</f>
        <v>123</v>
      </c>
      <c r="H24" s="534">
        <f>'West Chatham'!H24+Downtown!H24+Central!H24+Southside!H24+Islands!H24+Whitefield!H24</f>
        <v>125.84699453551912</v>
      </c>
      <c r="I24" s="570">
        <f>'West Chatham'!I24+Downtown!I24+Central!I24+Southside!I24+Islands!I24+Whitefield!I24</f>
        <v>571</v>
      </c>
      <c r="J24" s="558">
        <f>'West Chatham'!J24+Downtown!J24+Central!J24+Southside!J24+Islands!J24+Whitefield!J24</f>
        <v>552</v>
      </c>
      <c r="K24" s="266">
        <f>'West Chatham'!K24+Downtown!K24+Central!K24+Southside!K24+Islands!K24+Whitefield!K24</f>
        <v>553</v>
      </c>
      <c r="L24" s="267">
        <f t="shared" si="11"/>
        <v>19</v>
      </c>
      <c r="M24" s="270">
        <f t="shared" si="12"/>
        <v>18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568">
        <f>'West Chatham'!C25+Downtown!C25+Central!C25+Southside!C25+Islands!C25+Whitefield!C25</f>
        <v>47</v>
      </c>
      <c r="D25" s="263">
        <f>'West Chatham'!D25+Downtown!D25+Central!D25+Southside!D25+Islands!D25+Whitefield!D25</f>
        <v>31</v>
      </c>
      <c r="E25" s="534">
        <f>'West Chatham'!E25+Downtown!E25+Central!E25+Southside!E25+Islands!E25+Whitefield!E25</f>
        <v>39.054644808743163</v>
      </c>
      <c r="F25" s="265">
        <f>'West Chatham'!F25+Downtown!F25+Central!F25+Southside!F25+Islands!F25+Whitefield!F25</f>
        <v>153</v>
      </c>
      <c r="G25" s="263">
        <f>'West Chatham'!G25+Downtown!G25+Central!G25+Southside!G25+Islands!G25+Whitefield!G25</f>
        <v>115</v>
      </c>
      <c r="H25" s="534">
        <f>'West Chatham'!H25+Downtown!H25+Central!H25+Southside!H25+Islands!H25+Whitefield!H25</f>
        <v>156.21857923497265</v>
      </c>
      <c r="I25" s="570">
        <f>'West Chatham'!I25+Downtown!I25+Central!I25+Southside!I25+Islands!I25+Whitefield!I25</f>
        <v>656</v>
      </c>
      <c r="J25" s="558">
        <f>'West Chatham'!J25+Downtown!J25+Central!J25+Southside!J25+Islands!J25+Whitefield!J25</f>
        <v>670</v>
      </c>
      <c r="K25" s="266">
        <f>'West Chatham'!K25+Downtown!K25+Central!K25+Southside!K25+Islands!K25+Whitefield!K25</f>
        <v>541</v>
      </c>
      <c r="L25" s="267">
        <f t="shared" si="11"/>
        <v>-14</v>
      </c>
      <c r="M25" s="270">
        <f t="shared" si="12"/>
        <v>115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568">
        <f>'West Chatham'!C26+Downtown!C26+Central!C26+Southside!C26+Islands!C26+Whitefield!C26</f>
        <v>20</v>
      </c>
      <c r="D26" s="263">
        <f>'West Chatham'!D26+Downtown!D26+Central!D26+Southside!D26+Islands!D26+Whitefield!D26</f>
        <v>19</v>
      </c>
      <c r="E26" s="534">
        <f>'West Chatham'!E26+Downtown!E26+Central!E26+Southside!E26+Islands!E26+Whitefield!E26</f>
        <v>16.352459016393443</v>
      </c>
      <c r="F26" s="265">
        <f>'West Chatham'!F26+Downtown!F26+Central!F26+Southside!F26+Islands!F26+Whitefield!F26</f>
        <v>73</v>
      </c>
      <c r="G26" s="263">
        <f>'West Chatham'!G26+Downtown!G26+Central!G26+Southside!G26+Islands!G26+Whitefield!G26</f>
        <v>58</v>
      </c>
      <c r="H26" s="534">
        <f>'West Chatham'!H26+Downtown!H26+Central!H26+Southside!H26+Islands!H26+Whitefield!H26</f>
        <v>65.409836065573771</v>
      </c>
      <c r="I26" s="570">
        <f>'West Chatham'!I26+Downtown!I26+Central!I26+Southside!I26+Islands!I26+Whitefield!I26</f>
        <v>259</v>
      </c>
      <c r="J26" s="558">
        <f>'West Chatham'!J26+Downtown!J26+Central!J26+Southside!J26+Islands!J26+Whitefield!J26</f>
        <v>225</v>
      </c>
      <c r="K26" s="266">
        <f>'West Chatham'!K26+Downtown!K26+Central!K26+Southside!K26+Islands!K26+Whitefield!K26</f>
        <v>231</v>
      </c>
      <c r="L26" s="267">
        <f t="shared" si="11"/>
        <v>34</v>
      </c>
      <c r="M26" s="270">
        <f t="shared" si="12"/>
        <v>28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568">
        <f>'West Chatham'!C27+Downtown!C27+Central!C27+Southside!C27+Islands!C27+Whitefield!C27</f>
        <v>17</v>
      </c>
      <c r="D27" s="263">
        <f>'West Chatham'!D27+Downtown!D27+Central!D27+Southside!D27+Islands!D27+Whitefield!D27</f>
        <v>27</v>
      </c>
      <c r="E27" s="534">
        <f>'West Chatham'!E27+Downtown!E27+Central!E27+Southside!E27+Islands!E27+Whitefield!E27</f>
        <v>23.50546448087432</v>
      </c>
      <c r="F27" s="265">
        <f>'West Chatham'!F27+Downtown!F27+Central!F27+Southside!F27+Islands!F27+Whitefield!F27</f>
        <v>84</v>
      </c>
      <c r="G27" s="263">
        <f>'West Chatham'!G27+Downtown!G27+Central!G27+Southside!G27+Islands!G27+Whitefield!G27</f>
        <v>81</v>
      </c>
      <c r="H27" s="534">
        <f>'West Chatham'!H27+Downtown!H27+Central!H27+Southside!H27+Islands!H27+Whitefield!H27</f>
        <v>94.021857923497279</v>
      </c>
      <c r="I27" s="570">
        <f>'West Chatham'!I27+Downtown!I27+Central!I27+Southside!I27+Islands!I27+Whitefield!I27</f>
        <v>348</v>
      </c>
      <c r="J27" s="558">
        <f>'West Chatham'!J27+Downtown!J27+Central!J27+Southside!J27+Islands!J27+Whitefield!J27</f>
        <v>378</v>
      </c>
      <c r="K27" s="266">
        <f>'West Chatham'!K27+Downtown!K27+Central!K27+Southside!K27+Islands!K27+Whitefield!K27</f>
        <v>338</v>
      </c>
      <c r="L27" s="267">
        <f>I27-J27</f>
        <v>-30</v>
      </c>
      <c r="M27" s="270">
        <f>I27-K27</f>
        <v>10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568">
        <f>'West Chatham'!C28+Downtown!C28+Central!C28+Southside!C28+Islands!C28+Whitefield!C28</f>
        <v>3</v>
      </c>
      <c r="D28" s="263">
        <f>'West Chatham'!D28+Downtown!D28+Central!D28+Southside!D28+Islands!D28+Whitefield!D28</f>
        <v>8</v>
      </c>
      <c r="E28" s="534">
        <f>'West Chatham'!E28+Downtown!E28+Central!E28+Southside!E28+Islands!E28+Whitefield!E28</f>
        <v>3.2131147540983607</v>
      </c>
      <c r="F28" s="265">
        <f>'West Chatham'!F28+Downtown!F28+Central!F28+Southside!F28+Islands!F28+Whitefield!F28</f>
        <v>18</v>
      </c>
      <c r="G28" s="263">
        <f>'West Chatham'!G28+Downtown!G28+Central!G28+Southside!G28+Islands!G28+Whitefield!G28</f>
        <v>19</v>
      </c>
      <c r="H28" s="534">
        <f>'West Chatham'!H28+Downtown!H28+Central!H28+Southside!H28+Islands!H28+Whitefield!H28</f>
        <v>12.852459016393443</v>
      </c>
      <c r="I28" s="570">
        <f>'West Chatham'!I28+Downtown!I28+Central!I28+Southside!I28+Islands!I28+Whitefield!I28</f>
        <v>69</v>
      </c>
      <c r="J28" s="558">
        <f>'West Chatham'!J28+Downtown!J28+Central!J28+Southside!J28+Islands!J28+Whitefield!J28</f>
        <v>48</v>
      </c>
      <c r="K28" s="266">
        <f>'West Chatham'!K28+Downtown!K28+Central!K28+Southside!K28+Islands!K28+Whitefield!K28</f>
        <v>53</v>
      </c>
      <c r="L28" s="267">
        <f t="shared" si="11"/>
        <v>21</v>
      </c>
      <c r="M28" s="270">
        <f t="shared" si="12"/>
        <v>16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568">
        <f>'West Chatham'!C29+Downtown!C29+Central!C29+Southside!C29+Islands!C29+Whitefield!C29</f>
        <v>13</v>
      </c>
      <c r="D29" s="263">
        <f>'West Chatham'!D29+Downtown!D29+Central!D29+Southside!D29+Islands!D29+Whitefield!D29</f>
        <v>16</v>
      </c>
      <c r="E29" s="534">
        <f>'West Chatham'!E29+Downtown!E29+Central!E29+Southside!E29+Islands!E29+Whitefield!E29</f>
        <v>18.360655737704921</v>
      </c>
      <c r="F29" s="265">
        <f>'West Chatham'!F29+Downtown!F29+Central!F29+Southside!F29+Islands!F29+Whitefield!F29</f>
        <v>60</v>
      </c>
      <c r="G29" s="263">
        <f>'West Chatham'!G29+Downtown!G29+Central!G29+Southside!G29+Islands!G29+Whitefield!G29</f>
        <v>68</v>
      </c>
      <c r="H29" s="534">
        <f>'West Chatham'!H29+Downtown!H29+Central!H29+Southside!H29+Islands!H29+Whitefield!H29</f>
        <v>73.442622950819683</v>
      </c>
      <c r="I29" s="570">
        <f>'West Chatham'!I29+Downtown!I29+Central!I29+Southside!I29+Islands!I29+Whitefield!I29</f>
        <v>276</v>
      </c>
      <c r="J29" s="558">
        <f>'West Chatham'!J29+Downtown!J29+Central!J29+Southside!J29+Islands!J29+Whitefield!J29</f>
        <v>301</v>
      </c>
      <c r="K29" s="266">
        <f>'West Chatham'!K29+Downtown!K29+Central!K29+Southside!K29+Islands!K29+Whitefield!K29</f>
        <v>295</v>
      </c>
      <c r="L29" s="267">
        <f t="shared" si="11"/>
        <v>-25</v>
      </c>
      <c r="M29" s="270">
        <f>I29-K29</f>
        <v>-19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165</v>
      </c>
      <c r="D30" s="285">
        <f t="shared" si="15"/>
        <v>162</v>
      </c>
      <c r="E30" s="286">
        <f t="shared" si="15"/>
        <v>169.56830601092895</v>
      </c>
      <c r="F30" s="287">
        <f t="shared" si="15"/>
        <v>630</v>
      </c>
      <c r="G30" s="285">
        <f t="shared" si="15"/>
        <v>558</v>
      </c>
      <c r="H30" s="286">
        <f t="shared" si="15"/>
        <v>678.2732240437158</v>
      </c>
      <c r="I30" s="287">
        <f t="shared" si="15"/>
        <v>2634</v>
      </c>
      <c r="J30" s="285">
        <f t="shared" si="15"/>
        <v>2735</v>
      </c>
      <c r="K30" s="286">
        <f t="shared" si="15"/>
        <v>2516</v>
      </c>
      <c r="L30" s="276">
        <f>(I30-J30)/J30</f>
        <v>-3.6928702010968921E-2</v>
      </c>
      <c r="M30" s="277">
        <f>(I30-K30)/K30</f>
        <v>4.6899841017488078E-2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197</v>
      </c>
      <c r="D31" s="273">
        <f t="shared" ref="D31:K31" si="16">D30+D19</f>
        <v>190</v>
      </c>
      <c r="E31" s="274">
        <f>E30+E19</f>
        <v>193.47860618309753</v>
      </c>
      <c r="F31" s="275">
        <f t="shared" si="16"/>
        <v>733</v>
      </c>
      <c r="G31" s="273">
        <f t="shared" si="16"/>
        <v>629</v>
      </c>
      <c r="H31" s="274">
        <f t="shared" si="16"/>
        <v>773.9144247323901</v>
      </c>
      <c r="I31" s="275">
        <f t="shared" si="16"/>
        <v>2988</v>
      </c>
      <c r="J31" s="273">
        <f t="shared" si="16"/>
        <v>3134</v>
      </c>
      <c r="K31" s="274">
        <f t="shared" si="16"/>
        <v>2802</v>
      </c>
      <c r="L31" s="276">
        <f>(I31-J31)/J31</f>
        <v>-4.6585832801531592E-2</v>
      </c>
      <c r="M31" s="277">
        <f>(I31-K31)/K31</f>
        <v>6.638115631691649E-2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-146</v>
      </c>
    </row>
    <row r="34" spans="1:14" x14ac:dyDescent="0.2">
      <c r="B34" s="291" t="s">
        <v>73</v>
      </c>
      <c r="M34" s="296"/>
    </row>
    <row r="35" spans="1:14" x14ac:dyDescent="0.2">
      <c r="B35" s="291" t="s">
        <v>71</v>
      </c>
      <c r="M35" s="296"/>
    </row>
    <row r="36" spans="1:14" ht="13.5" thickBot="1" x14ac:dyDescent="0.25">
      <c r="B36" s="291" t="s">
        <v>199</v>
      </c>
      <c r="C36" s="291"/>
      <c r="D36" s="291"/>
      <c r="K36" s="217"/>
      <c r="L36" s="297"/>
      <c r="M36" s="296"/>
    </row>
    <row r="37" spans="1:14" ht="7.5" customHeight="1" thickBot="1" x14ac:dyDescent="0.25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5" thickBot="1" x14ac:dyDescent="0.25">
      <c r="A39" s="302"/>
      <c r="B39" s="303"/>
      <c r="C39" s="250" t="s">
        <v>233</v>
      </c>
      <c r="D39" s="250" t="s">
        <v>222</v>
      </c>
      <c r="E39" s="251" t="s">
        <v>181</v>
      </c>
      <c r="F39" s="252" t="s">
        <v>234</v>
      </c>
      <c r="G39" s="253">
        <v>42826</v>
      </c>
      <c r="H39" s="251" t="s">
        <v>181</v>
      </c>
      <c r="I39" s="254">
        <v>2017</v>
      </c>
      <c r="J39" s="304">
        <v>2016</v>
      </c>
      <c r="K39" s="304">
        <v>2015</v>
      </c>
      <c r="L39" s="504" t="s">
        <v>182</v>
      </c>
      <c r="M39" s="50" t="s">
        <v>183</v>
      </c>
      <c r="N39" s="305"/>
    </row>
    <row r="40" spans="1:14" x14ac:dyDescent="0.2">
      <c r="A40" s="226"/>
      <c r="B40" s="261" t="s">
        <v>51</v>
      </c>
      <c r="C40" s="307">
        <f>'West Chatham'!C41+Downtown!C41+Central!C41+Southside!C41+Islands!C41</f>
        <v>506</v>
      </c>
      <c r="D40" s="307">
        <f>'West Chatham'!D41+Downtown!D41+Central!D41+Southside!D41+Islands!D41</f>
        <v>499</v>
      </c>
      <c r="E40" s="352">
        <f>'West Chatham'!E41+Downtown!E41+Central!E41+Southside!E41+Islands!E41</f>
        <v>533.99452054794517</v>
      </c>
      <c r="F40" s="354">
        <f>'West Chatham'!F41+Downtown!F41+Central!F41+Southside!F41+Islands!F41</f>
        <v>1938</v>
      </c>
      <c r="G40" s="263">
        <f>'West Chatham'!G41+Downtown!G41+Central!G41+Southside!G41+Islands!G41</f>
        <v>1881</v>
      </c>
      <c r="H40" s="266">
        <f>+'Calls for service'!R30</f>
        <v>2135.9780821917807</v>
      </c>
      <c r="I40" s="308">
        <f>+'Calls for service'!AC22</f>
        <v>8748</v>
      </c>
      <c r="J40" s="307">
        <f>+'Calls for service'!AC14</f>
        <v>9204</v>
      </c>
      <c r="K40" s="266">
        <f>+'Calls for service'!AB30</f>
        <v>8504.6666666666679</v>
      </c>
      <c r="L40" s="309">
        <f>+I40-J40</f>
        <v>-456</v>
      </c>
      <c r="M40" s="268">
        <f>+I40-K40</f>
        <v>243.33333333333212</v>
      </c>
      <c r="N40" s="231"/>
    </row>
    <row r="41" spans="1:14" x14ac:dyDescent="0.2">
      <c r="A41" s="226"/>
      <c r="B41" s="269" t="s">
        <v>52</v>
      </c>
      <c r="C41" s="307">
        <f>'West Chatham'!C42+Downtown!C42+Central!C42+Southside!C42+Islands!C42</f>
        <v>1115</v>
      </c>
      <c r="D41" s="307">
        <f>'West Chatham'!D42+Downtown!D42+Central!D42+Southside!D42+Islands!D42</f>
        <v>1162</v>
      </c>
      <c r="E41" s="352">
        <f>'West Chatham'!E42+Downtown!E42+Central!E42+Southside!E42+Islands!E42</f>
        <v>1222.6410958904107</v>
      </c>
      <c r="F41" s="355">
        <f>'West Chatham'!F42+Downtown!F42+Central!F42+Southside!F42+Islands!F42</f>
        <v>4609</v>
      </c>
      <c r="G41" s="263">
        <f>'West Chatham'!G42+Downtown!G42+Central!G42+Southside!G42+Islands!G42</f>
        <v>4540</v>
      </c>
      <c r="H41" s="266">
        <f>+'Calls for service'!R29</f>
        <v>4890.5643835616429</v>
      </c>
      <c r="I41" s="308">
        <f>+'Calls for service'!AC21</f>
        <v>20706</v>
      </c>
      <c r="J41" s="307">
        <f>+'Calls for service'!AC13</f>
        <v>21567</v>
      </c>
      <c r="K41" s="266">
        <f>+'Calls for service'!AB29</f>
        <v>19794.333333333336</v>
      </c>
      <c r="L41" s="309">
        <f>+I41-J41</f>
        <v>-861</v>
      </c>
      <c r="M41" s="270">
        <f>+I41-K41</f>
        <v>911.66666666666424</v>
      </c>
      <c r="N41" s="231"/>
    </row>
    <row r="42" spans="1:14" x14ac:dyDescent="0.2">
      <c r="A42" s="226"/>
      <c r="B42" s="269" t="s">
        <v>53</v>
      </c>
      <c r="C42" s="307">
        <f>'West Chatham'!C43+Downtown!C43+Central!C43+Southside!C43+Islands!C43</f>
        <v>1317</v>
      </c>
      <c r="D42" s="307">
        <f>'West Chatham'!D43+Downtown!D43+Central!D43+Southside!D43+Islands!D43</f>
        <v>1346</v>
      </c>
      <c r="E42" s="352">
        <f>'West Chatham'!E43+Downtown!E43+Central!E43+Southside!E43+Islands!E43</f>
        <v>1304.9342465753423</v>
      </c>
      <c r="F42" s="356">
        <f>'West Chatham'!F43+Downtown!F43+Central!F43+Southside!F43+Islands!F43</f>
        <v>5137</v>
      </c>
      <c r="G42" s="263">
        <f>'West Chatham'!G43+Downtown!G43+Central!G43+Southside!G43+Islands!G43</f>
        <v>4846</v>
      </c>
      <c r="H42" s="266">
        <f>+'Calls for service'!R28</f>
        <v>5219.7369863013691</v>
      </c>
      <c r="I42" s="308">
        <f>+'Calls for service'!AC20</f>
        <v>21822</v>
      </c>
      <c r="J42" s="307">
        <f>+'Calls for service'!AC12</f>
        <v>22715</v>
      </c>
      <c r="K42" s="266">
        <f>+'Calls for service'!AB28</f>
        <v>20893.000000000004</v>
      </c>
      <c r="L42" s="309">
        <f>+I42-J42</f>
        <v>-893</v>
      </c>
      <c r="M42" s="270">
        <f>+I42-K42</f>
        <v>928.99999999999636</v>
      </c>
      <c r="N42" s="231"/>
    </row>
    <row r="43" spans="1:14" ht="13.5" thickBot="1" x14ac:dyDescent="0.25">
      <c r="A43" s="19"/>
      <c r="B43" s="271" t="s">
        <v>54</v>
      </c>
      <c r="C43" s="310">
        <f>SUM(C40:C42)</f>
        <v>2938</v>
      </c>
      <c r="D43" s="310">
        <f t="shared" ref="D43:K43" si="17">SUM(D40:D42)</f>
        <v>3007</v>
      </c>
      <c r="E43" s="353">
        <f t="shared" si="17"/>
        <v>3061.5698630136985</v>
      </c>
      <c r="F43" s="357">
        <f t="shared" si="17"/>
        <v>11684</v>
      </c>
      <c r="G43" s="310">
        <f t="shared" si="17"/>
        <v>11267</v>
      </c>
      <c r="H43" s="274">
        <f t="shared" si="17"/>
        <v>12246.279452054794</v>
      </c>
      <c r="I43" s="311">
        <f t="shared" si="17"/>
        <v>51276</v>
      </c>
      <c r="J43" s="310">
        <f t="shared" si="17"/>
        <v>53486</v>
      </c>
      <c r="K43" s="274">
        <f t="shared" si="17"/>
        <v>49192.000000000007</v>
      </c>
      <c r="L43" s="350">
        <f>+(I43-J43)/J43</f>
        <v>-4.1319223722095504E-2</v>
      </c>
      <c r="M43" s="351">
        <f>+(I43-K43)/K43</f>
        <v>4.2364612132053836E-2</v>
      </c>
      <c r="N43" s="18"/>
    </row>
    <row r="44" spans="1:14" x14ac:dyDescent="0.2">
      <c r="A44" s="19"/>
      <c r="B44" s="343" t="s">
        <v>75</v>
      </c>
      <c r="C44" s="298">
        <f>'West Chatham'!C45+Downtown!C45+Central!C45+Southside!C45+Islands!C45</f>
        <v>27</v>
      </c>
      <c r="D44" s="298">
        <f>'West Chatham'!D45+Downtown!D45+Central!D45+Southside!D45+Islands!D45</f>
        <v>23</v>
      </c>
      <c r="E44" s="341">
        <f>'West Chatham'!E45+Downtown!E45+Central!E45+Southside!E45+Islands!E45</f>
        <v>22.936986301369867</v>
      </c>
      <c r="F44" s="347">
        <f>'West Chatham'!F45+Downtown!F45+Central!F45+Southside!F45+Islands!F45</f>
        <v>84</v>
      </c>
      <c r="G44" s="298">
        <f>'West Chatham'!G45+Downtown!G45+Central!G45+Southside!G45+Islands!G45</f>
        <v>67</v>
      </c>
      <c r="H44" s="341">
        <f>'West Chatham'!H45+Downtown!H45+Central!H45+Southside!H45+Islands!H45</f>
        <v>91.747945205479468</v>
      </c>
      <c r="I44" s="336">
        <f>'West Chatham'!I45+Downtown!I45+Central!I45+Southside!I45+Islands!I45</f>
        <v>377</v>
      </c>
      <c r="J44" s="298">
        <f>'West Chatham'!J45+Downtown!J45+Central!J45+Southside!J45+Islands!J45</f>
        <v>515</v>
      </c>
      <c r="K44" s="342">
        <f>'West Chatham'!K45+Downtown!K45+Central!K45+Southside!K45+Islands!K45</f>
        <v>189</v>
      </c>
      <c r="L44" s="336">
        <f>I44-J44</f>
        <v>-138</v>
      </c>
      <c r="M44" s="333">
        <f>I44-K44</f>
        <v>188</v>
      </c>
      <c r="N44" s="216"/>
    </row>
    <row r="45" spans="1:14" ht="13.5" thickBot="1" x14ac:dyDescent="0.25">
      <c r="A45" s="19"/>
      <c r="B45" s="344" t="s">
        <v>76</v>
      </c>
      <c r="C45" s="298">
        <f>'West Chatham'!C46+Downtown!C46+Central!C46+Southside!C46+Islands!C46</f>
        <v>75</v>
      </c>
      <c r="D45" s="298">
        <f>'West Chatham'!D46+Downtown!D46+Central!D46+Southside!D46+Islands!D46</f>
        <v>50</v>
      </c>
      <c r="E45" s="341">
        <f>'West Chatham'!E46+Downtown!E46+Central!E46+Southside!E46+Islands!E46</f>
        <v>63.249315068493146</v>
      </c>
      <c r="F45" s="348">
        <f>'West Chatham'!F46+Downtown!F46+Central!F46+Southside!F46+Islands!F46</f>
        <v>259</v>
      </c>
      <c r="G45" s="298">
        <f>'West Chatham'!G46+Downtown!G46+Central!G46+Southside!G46+Islands!G46</f>
        <v>211</v>
      </c>
      <c r="H45" s="341">
        <f>'West Chatham'!H46+Downtown!H46+Central!H46+Southside!H46+Islands!H46</f>
        <v>252.99726027397259</v>
      </c>
      <c r="I45" s="348">
        <f>'West Chatham'!I46+Downtown!I46+Central!I46+Southside!I46+Islands!I46</f>
        <v>978</v>
      </c>
      <c r="J45" s="298">
        <f>'West Chatham'!J46+Downtown!J46+Central!J46+Southside!J46+Islands!J46</f>
        <v>1151</v>
      </c>
      <c r="K45" s="342">
        <f>'West Chatham'!K46+Downtown!K46+Central!K46+Southside!K46+Islands!K46</f>
        <v>880</v>
      </c>
      <c r="L45" s="348">
        <f>I45-J45</f>
        <v>-173</v>
      </c>
      <c r="M45" s="300">
        <f>I45-K45</f>
        <v>98</v>
      </c>
      <c r="N45" s="27"/>
    </row>
    <row r="46" spans="1:14" ht="7.5" customHeight="1" thickBot="1" x14ac:dyDescent="0.25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">
      <c r="B47" s="223"/>
      <c r="C47" s="218"/>
      <c r="E47" s="217"/>
      <c r="F47" s="219"/>
      <c r="H47" s="219"/>
      <c r="I47" s="215"/>
      <c r="J47" s="215"/>
    </row>
    <row r="51" spans="3:4" x14ac:dyDescent="0.2">
      <c r="C51" s="312"/>
      <c r="D51" s="312"/>
    </row>
    <row r="52" spans="3:4" x14ac:dyDescent="0.2">
      <c r="D52" s="219"/>
    </row>
    <row r="53" spans="3:4" x14ac:dyDescent="0.2">
      <c r="D53" s="219"/>
    </row>
    <row r="54" spans="3:4" x14ac:dyDescent="0.2">
      <c r="D54" s="219"/>
    </row>
    <row r="55" spans="3:4" x14ac:dyDescent="0.2">
      <c r="D55" s="219"/>
    </row>
    <row r="56" spans="3:4" x14ac:dyDescent="0.2">
      <c r="D56" s="219"/>
    </row>
    <row r="57" spans="3:4" x14ac:dyDescent="0.2">
      <c r="D57" s="219"/>
    </row>
    <row r="58" spans="3:4" x14ac:dyDescent="0.2">
      <c r="D58" s="219"/>
    </row>
    <row r="59" spans="3:4" x14ac:dyDescent="0.2">
      <c r="D59" s="219"/>
    </row>
    <row r="60" spans="3:4" x14ac:dyDescent="0.2">
      <c r="D60" s="219"/>
    </row>
    <row r="61" spans="3:4" x14ac:dyDescent="0.2">
      <c r="D61" s="219"/>
    </row>
    <row r="62" spans="3:4" x14ac:dyDescent="0.2">
      <c r="D62" s="219"/>
    </row>
    <row r="63" spans="3:4" x14ac:dyDescent="0.2">
      <c r="D63" s="219"/>
    </row>
    <row r="64" spans="3:4" x14ac:dyDescent="0.2">
      <c r="D64" s="219"/>
    </row>
    <row r="65" spans="4:4" x14ac:dyDescent="0.2">
      <c r="D65" s="219"/>
    </row>
    <row r="66" spans="4:4" x14ac:dyDescent="0.2">
      <c r="D66" s="219"/>
    </row>
  </sheetData>
  <phoneticPr fontId="17" type="noConversion"/>
  <conditionalFormatting sqref="L32:M32 M46">
    <cfRule type="cellIs" dxfId="165" priority="15" stopIfTrue="1" operator="greaterThan">
      <formula>0</formula>
    </cfRule>
  </conditionalFormatting>
  <conditionalFormatting sqref="C11 C21:C29">
    <cfRule type="cellIs" dxfId="164" priority="18" stopIfTrue="1" operator="greaterThan">
      <formula>E11+P11</formula>
    </cfRule>
    <cfRule type="cellIs" dxfId="163" priority="19" stopIfTrue="1" operator="lessThan">
      <formula>E11-P11</formula>
    </cfRule>
  </conditionalFormatting>
  <conditionalFormatting sqref="F11 F21:F29">
    <cfRule type="cellIs" dxfId="162" priority="20" stopIfTrue="1" operator="greaterThan">
      <formula>H11+Q11</formula>
    </cfRule>
    <cfRule type="cellIs" dxfId="161" priority="21" stopIfTrue="1" operator="lessThan">
      <formula>H11-Q11</formula>
    </cfRule>
  </conditionalFormatting>
  <conditionalFormatting sqref="I11 I21:I29">
    <cfRule type="cellIs" dxfId="160" priority="22" stopIfTrue="1" operator="greaterThan">
      <formula>J11+R11</formula>
    </cfRule>
    <cfRule type="cellIs" dxfId="159" priority="23" stopIfTrue="1" operator="lessThan">
      <formula>J11-R11</formula>
    </cfRule>
  </conditionalFormatting>
  <conditionalFormatting sqref="C12:C18">
    <cfRule type="cellIs" dxfId="158" priority="5" stopIfTrue="1" operator="greaterThan">
      <formula>E12+P12</formula>
    </cfRule>
    <cfRule type="cellIs" dxfId="157" priority="6" stopIfTrue="1" operator="lessThan">
      <formula>E12-P12</formula>
    </cfRule>
  </conditionalFormatting>
  <conditionalFormatting sqref="F12:F18">
    <cfRule type="cellIs" dxfId="156" priority="3" stopIfTrue="1" operator="greaterThan">
      <formula>H12+Q12</formula>
    </cfRule>
    <cfRule type="cellIs" dxfId="155" priority="4" stopIfTrue="1" operator="lessThan">
      <formula>H12-Q12</formula>
    </cfRule>
  </conditionalFormatting>
  <conditionalFormatting sqref="I12:I18">
    <cfRule type="cellIs" dxfId="154" priority="1" stopIfTrue="1" operator="greaterThan">
      <formula>J12+R12</formula>
    </cfRule>
    <cfRule type="cellIs" dxfId="153" priority="2" stopIfTrue="1" operator="lessThan">
      <formula>J12-R12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164</v>
      </c>
      <c r="I4" s="223" t="s">
        <v>167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Unincorporated!F11</f>
        <v>0</v>
      </c>
      <c r="D11" s="512">
        <f>Unincorporated!F23</f>
        <v>0</v>
      </c>
      <c r="E11" s="505">
        <f>H11/4</f>
        <v>9.5628415300546443E-2</v>
      </c>
      <c r="F11" s="265">
        <f>Unincorporated!F35</f>
        <v>0</v>
      </c>
      <c r="G11" s="513">
        <f>Unincorporated!F47</f>
        <v>0</v>
      </c>
      <c r="H11" s="516">
        <v>0.38251366120218577</v>
      </c>
      <c r="I11" s="509">
        <f>Unincorporated!F59</f>
        <v>1</v>
      </c>
      <c r="J11" s="263">
        <f>Unincorporated!F71</f>
        <v>1</v>
      </c>
      <c r="K11" s="263">
        <f>Unincorporated!F83</f>
        <v>0</v>
      </c>
      <c r="L11" s="316">
        <f>+(I11-J11)</f>
        <v>0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Unincorporated!M11</f>
        <v>0</v>
      </c>
      <c r="D12" s="512">
        <f>Unincorporated!M23</f>
        <v>0</v>
      </c>
      <c r="E12" s="505">
        <f>H12/4</f>
        <v>7.650273224043716E-2</v>
      </c>
      <c r="F12" s="265">
        <f>Unincorporated!M35</f>
        <v>0</v>
      </c>
      <c r="G12" s="513">
        <f>Unincorporated!M47</f>
        <v>0</v>
      </c>
      <c r="H12" s="517">
        <v>0.30601092896174864</v>
      </c>
      <c r="I12" s="510">
        <f>Unincorporated!M59</f>
        <v>0</v>
      </c>
      <c r="J12" s="263">
        <f>Unincorporated!M71</f>
        <v>2</v>
      </c>
      <c r="K12" s="263">
        <f>Unincorporated!M83</f>
        <v>1</v>
      </c>
      <c r="L12" s="316">
        <f>I12-J12</f>
        <v>-2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Unincorporated!D11</f>
        <v>1</v>
      </c>
      <c r="D13" s="512">
        <f>Unincorporated!D23</f>
        <v>0</v>
      </c>
      <c r="E13" s="505">
        <f t="shared" ref="E13:E17" si="2">H13/4</f>
        <v>0.19125683060109289</v>
      </c>
      <c r="F13" s="265">
        <f>Unincorporated!D35</f>
        <v>1</v>
      </c>
      <c r="G13" s="513">
        <f>Unincorporated!D47</f>
        <v>0</v>
      </c>
      <c r="H13" s="517">
        <v>0.76502732240437155</v>
      </c>
      <c r="I13" s="510">
        <f>Unincorporated!D59</f>
        <v>1</v>
      </c>
      <c r="J13" s="263">
        <f>Unincorporated!D71</f>
        <v>5</v>
      </c>
      <c r="K13" s="263">
        <f>Unincorporated!D83</f>
        <v>1</v>
      </c>
      <c r="L13" s="316">
        <f>+(I13-J13)</f>
        <v>-4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Unincorporated!Q11</f>
        <v>0</v>
      </c>
      <c r="D14" s="512">
        <f>Unincorporated!Q23</f>
        <v>1</v>
      </c>
      <c r="E14" s="505">
        <f>H14/4</f>
        <v>0.40163934426229508</v>
      </c>
      <c r="F14" s="265">
        <f>Unincorporated!Q35</f>
        <v>1</v>
      </c>
      <c r="G14" s="513">
        <f>Unincorporated!Q47</f>
        <v>0</v>
      </c>
      <c r="H14" s="517">
        <v>1.6065573770491803</v>
      </c>
      <c r="I14" s="510">
        <f>Unincorporated!Q59</f>
        <v>2</v>
      </c>
      <c r="J14" s="263">
        <f>Unincorporated!Q71</f>
        <v>8</v>
      </c>
      <c r="K14" s="263">
        <f>Unincorporated!Q83</f>
        <v>4</v>
      </c>
      <c r="L14" s="316">
        <f>+(I14-J14)</f>
        <v>-6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Unincorporated!O11</f>
        <v>0</v>
      </c>
      <c r="D15" s="262">
        <f>Unincorporated!O23</f>
        <v>0</v>
      </c>
      <c r="E15" s="505">
        <f t="shared" si="2"/>
        <v>0.21038251366120217</v>
      </c>
      <c r="F15" s="265">
        <f>Unincorporated!O35</f>
        <v>0</v>
      </c>
      <c r="G15" s="513">
        <f>Unincorporated!O47</f>
        <v>0</v>
      </c>
      <c r="H15" s="517">
        <v>0.84153005464480868</v>
      </c>
      <c r="I15" s="510">
        <f>Unincorporated!O59</f>
        <v>1</v>
      </c>
      <c r="J15" s="263">
        <f>Unincorporated!O71</f>
        <v>4</v>
      </c>
      <c r="K15" s="263">
        <f>Unincorporated!O83</f>
        <v>0</v>
      </c>
      <c r="L15" s="316">
        <f>+(I15-J15)</f>
        <v>-3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Unincorporated!E11</f>
        <v>0</v>
      </c>
      <c r="D16" s="262">
        <f>Unincorporated!E23</f>
        <v>0</v>
      </c>
      <c r="E16" s="505">
        <f t="shared" si="2"/>
        <v>0.43989071038251365</v>
      </c>
      <c r="F16" s="265">
        <f>Unincorporated!E35</f>
        <v>2</v>
      </c>
      <c r="G16" s="513">
        <f>Unincorporated!E47</f>
        <v>2</v>
      </c>
      <c r="H16" s="517">
        <v>1.7595628415300546</v>
      </c>
      <c r="I16" s="510">
        <f>Unincorporated!E59</f>
        <v>9</v>
      </c>
      <c r="J16" s="263">
        <f>Unincorporated!E71</f>
        <v>5</v>
      </c>
      <c r="K16" s="263">
        <f>Unincorporated!E83</f>
        <v>2</v>
      </c>
      <c r="L16" s="316">
        <f>+(I16-J16)</f>
        <v>4</v>
      </c>
      <c r="M16" s="270">
        <f t="shared" si="0"/>
        <v>7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Unincorporated!J11</f>
        <v>1</v>
      </c>
      <c r="D17" s="262">
        <f>Unincorporated!J23</f>
        <v>0</v>
      </c>
      <c r="E17" s="505">
        <f t="shared" si="2"/>
        <v>0.51639344262295084</v>
      </c>
      <c r="F17" s="265">
        <f>Unincorporated!J35</f>
        <v>2</v>
      </c>
      <c r="G17" s="513">
        <f>Unincorporated!J47</f>
        <v>4</v>
      </c>
      <c r="H17" s="517">
        <v>2.0655737704918034</v>
      </c>
      <c r="I17" s="510">
        <f>Unincorporated!J59</f>
        <v>10</v>
      </c>
      <c r="J17" s="263">
        <f>Unincorporated!J71</f>
        <v>7</v>
      </c>
      <c r="K17" s="263">
        <f>Unincorporated!J83</f>
        <v>5</v>
      </c>
      <c r="L17" s="316">
        <f>I17-J17</f>
        <v>3</v>
      </c>
      <c r="M17" s="270">
        <f t="shared" si="0"/>
        <v>5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2</v>
      </c>
      <c r="D18" s="273">
        <f t="shared" si="5"/>
        <v>1</v>
      </c>
      <c r="E18" s="506">
        <f>SUM(E11:E17)</f>
        <v>1.9316939890710383</v>
      </c>
      <c r="F18" s="272">
        <f t="shared" si="5"/>
        <v>6</v>
      </c>
      <c r="G18" s="273">
        <f t="shared" si="5"/>
        <v>6</v>
      </c>
      <c r="H18" s="506">
        <f>SUM(H11:H17)</f>
        <v>7.7267759562841531</v>
      </c>
      <c r="I18" s="273">
        <f t="shared" si="5"/>
        <v>24</v>
      </c>
      <c r="J18" s="273">
        <f t="shared" si="5"/>
        <v>32</v>
      </c>
      <c r="K18" s="273">
        <f t="shared" si="5"/>
        <v>13</v>
      </c>
      <c r="L18" s="318">
        <f>(I18-J18)/J18</f>
        <v>-0.25</v>
      </c>
      <c r="M18" s="319">
        <f>(I18-K18)/K18</f>
        <v>0.84615384615384615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Unincorporated!C11</f>
        <v>0</v>
      </c>
      <c r="D20" s="262">
        <f>Unincorporated!C23</f>
        <v>0</v>
      </c>
      <c r="E20" s="505">
        <f t="shared" ref="E20:E27" si="6">H20/4</f>
        <v>0.45901639344262296</v>
      </c>
      <c r="F20" s="265">
        <f>Unincorporated!C35</f>
        <v>1</v>
      </c>
      <c r="G20" s="263">
        <f>Unincorporated!C47</f>
        <v>0</v>
      </c>
      <c r="H20" s="519">
        <v>1.8360655737704918</v>
      </c>
      <c r="I20" s="265">
        <f>Unincorporated!C59</f>
        <v>5</v>
      </c>
      <c r="J20" s="263">
        <f>Unincorporated!C71</f>
        <v>10</v>
      </c>
      <c r="K20" s="263">
        <f>Unincorporated!C83</f>
        <v>3</v>
      </c>
      <c r="L20" s="316">
        <f>I20-J20</f>
        <v>-5</v>
      </c>
      <c r="M20" s="270">
        <f>I20-K20</f>
        <v>2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Unincorporated!N11</f>
        <v>6</v>
      </c>
      <c r="D21" s="262">
        <f>Unincorporated!N23</f>
        <v>3</v>
      </c>
      <c r="E21" s="505">
        <f t="shared" si="6"/>
        <v>3.5956284153005464</v>
      </c>
      <c r="F21" s="265">
        <f>Unincorporated!N35</f>
        <v>14</v>
      </c>
      <c r="G21" s="263">
        <f>Unincorporated!N47</f>
        <v>8</v>
      </c>
      <c r="H21" s="505">
        <v>14.382513661202186</v>
      </c>
      <c r="I21" s="265">
        <f>Unincorporated!N59</f>
        <v>62</v>
      </c>
      <c r="J21" s="263">
        <f>Unincorporated!N71</f>
        <v>68</v>
      </c>
      <c r="K21" s="263">
        <f>Unincorporated!N83</f>
        <v>40</v>
      </c>
      <c r="L21" s="316">
        <f t="shared" ref="L21:L27" si="8">+(I21-J21)</f>
        <v>-6</v>
      </c>
      <c r="M21" s="270">
        <f t="shared" ref="M21:M27" si="9">I21-K21</f>
        <v>22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Unincorporated!L11</f>
        <v>0</v>
      </c>
      <c r="D22" s="262">
        <f>Unincorporated!L23</f>
        <v>0</v>
      </c>
      <c r="E22" s="505">
        <f>H22/4</f>
        <v>0.13387978142076504</v>
      </c>
      <c r="F22" s="265">
        <f>Unincorporated!L35</f>
        <v>1</v>
      </c>
      <c r="G22" s="263">
        <f>Unincorporated!L47</f>
        <v>0</v>
      </c>
      <c r="H22" s="505">
        <v>0.53551912568306015</v>
      </c>
      <c r="I22" s="265">
        <f>Unincorporated!L59</f>
        <v>1</v>
      </c>
      <c r="J22" s="263">
        <f>Unincorporated!L71</f>
        <v>1</v>
      </c>
      <c r="K22" s="263">
        <f>Unincorporated!L83</f>
        <v>0</v>
      </c>
      <c r="L22" s="316">
        <f t="shared" si="8"/>
        <v>0</v>
      </c>
      <c r="M22" s="270">
        <f t="shared" si="9"/>
        <v>1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Unincorporated!P11</f>
        <v>0</v>
      </c>
      <c r="D23" s="262">
        <f>Unincorporated!P23</f>
        <v>4</v>
      </c>
      <c r="E23" s="505">
        <f t="shared" si="6"/>
        <v>2.5628415300546448</v>
      </c>
      <c r="F23" s="265">
        <f>Unincorporated!P35</f>
        <v>10</v>
      </c>
      <c r="G23" s="263">
        <f>Unincorporated!P47</f>
        <v>7</v>
      </c>
      <c r="H23" s="505">
        <v>10.251366120218579</v>
      </c>
      <c r="I23" s="265">
        <f>Unincorporated!P59</f>
        <v>39</v>
      </c>
      <c r="J23" s="263">
        <f>Unincorporated!P71</f>
        <v>42</v>
      </c>
      <c r="K23" s="263">
        <f>Unincorporated!Q83</f>
        <v>4</v>
      </c>
      <c r="L23" s="316">
        <f t="shared" si="8"/>
        <v>-3</v>
      </c>
      <c r="M23" s="270">
        <f t="shared" si="9"/>
        <v>35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Unincorporated!G11</f>
        <v>2</v>
      </c>
      <c r="D24" s="262">
        <f>Unincorporated!G23</f>
        <v>1</v>
      </c>
      <c r="E24" s="505">
        <f>H24/4</f>
        <v>4.0163934426229506</v>
      </c>
      <c r="F24" s="265">
        <f>Unincorporated!G35</f>
        <v>7</v>
      </c>
      <c r="G24" s="263">
        <f>Unincorporated!G47</f>
        <v>8</v>
      </c>
      <c r="H24" s="505">
        <v>16.065573770491802</v>
      </c>
      <c r="I24" s="265">
        <f>Unincorporated!G59</f>
        <v>45</v>
      </c>
      <c r="J24" s="263">
        <f>Unincorporated!G71</f>
        <v>70</v>
      </c>
      <c r="K24" s="263">
        <f>Unincorporated!G83</f>
        <v>50</v>
      </c>
      <c r="L24" s="316">
        <f t="shared" si="8"/>
        <v>-25</v>
      </c>
      <c r="M24" s="270">
        <f t="shared" si="9"/>
        <v>-5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Unincorporated!I11</f>
        <v>1</v>
      </c>
      <c r="D25" s="262">
        <f>Unincorporated!I23</f>
        <v>1</v>
      </c>
      <c r="E25" s="505">
        <f t="shared" si="6"/>
        <v>1.1092896174863389</v>
      </c>
      <c r="F25" s="265">
        <f>Unincorporated!I35</f>
        <v>5</v>
      </c>
      <c r="G25" s="263">
        <f>Unincorporated!I47</f>
        <v>6</v>
      </c>
      <c r="H25" s="505">
        <v>4.4371584699453557</v>
      </c>
      <c r="I25" s="265">
        <f>Unincorporated!I59</f>
        <v>14</v>
      </c>
      <c r="J25" s="263">
        <f>Unincorporated!I71</f>
        <v>21</v>
      </c>
      <c r="K25" s="263">
        <f>Unincorporated!I83</f>
        <v>19</v>
      </c>
      <c r="L25" s="316">
        <f t="shared" si="8"/>
        <v>-7</v>
      </c>
      <c r="M25" s="270">
        <f t="shared" si="9"/>
        <v>-5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Unincorporated!H11</f>
        <v>1</v>
      </c>
      <c r="D26" s="262">
        <f>Unincorporated!H23</f>
        <v>2</v>
      </c>
      <c r="E26" s="505">
        <f t="shared" si="6"/>
        <v>1.9316939890710381</v>
      </c>
      <c r="F26" s="265">
        <f>Unincorporated!H35</f>
        <v>9</v>
      </c>
      <c r="G26" s="263">
        <f>Unincorporated!H47</f>
        <v>13</v>
      </c>
      <c r="H26" s="505">
        <v>7.7267759562841523</v>
      </c>
      <c r="I26" s="265">
        <f>Unincorporated!H59</f>
        <v>44</v>
      </c>
      <c r="J26" s="263">
        <f>Unincorporated!H71</f>
        <v>30</v>
      </c>
      <c r="K26" s="263">
        <f>Unincorporated!H83</f>
        <v>22</v>
      </c>
      <c r="L26" s="316">
        <f>+(I26-J26)</f>
        <v>14</v>
      </c>
      <c r="M26" s="270">
        <f>I26-K26</f>
        <v>22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Unincorporated!K11</f>
        <v>0</v>
      </c>
      <c r="D27" s="262">
        <f>Unincorporated!K23</f>
        <v>2</v>
      </c>
      <c r="E27" s="505">
        <f t="shared" si="6"/>
        <v>0.45901639344262296</v>
      </c>
      <c r="F27" s="265">
        <f>Unincorporated!K35</f>
        <v>2</v>
      </c>
      <c r="G27" s="263">
        <f>Unincorporated!K47</f>
        <v>2</v>
      </c>
      <c r="H27" s="505">
        <v>1.8360655737704918</v>
      </c>
      <c r="I27" s="265">
        <f>Unincorporated!K59</f>
        <v>13</v>
      </c>
      <c r="J27" s="263">
        <f>Unincorporated!K71</f>
        <v>3</v>
      </c>
      <c r="K27" s="263">
        <f>Unincorporated!K83</f>
        <v>7</v>
      </c>
      <c r="L27" s="316">
        <f t="shared" si="8"/>
        <v>10</v>
      </c>
      <c r="M27" s="270">
        <f t="shared" si="9"/>
        <v>6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Unincorporated!B11</f>
        <v>0</v>
      </c>
      <c r="D28" s="262">
        <f>Unincorporated!B23</f>
        <v>1</v>
      </c>
      <c r="E28" s="505">
        <f>H28/4</f>
        <v>2.1038251366120218</v>
      </c>
      <c r="F28" s="265">
        <f>Unincorporated!B35</f>
        <v>6</v>
      </c>
      <c r="G28" s="263">
        <f>Unincorporated!B47</f>
        <v>7</v>
      </c>
      <c r="H28" s="505">
        <v>8.415300546448087</v>
      </c>
      <c r="I28" s="265">
        <f>Unincorporated!B59</f>
        <v>31</v>
      </c>
      <c r="J28" s="263">
        <f>Unincorporated!B71</f>
        <v>34</v>
      </c>
      <c r="K28" s="263">
        <f>Unincorporated!B83</f>
        <v>23</v>
      </c>
      <c r="L28" s="316">
        <f>I28-J28</f>
        <v>-3</v>
      </c>
      <c r="M28" s="270">
        <f>I28-K28</f>
        <v>8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10</v>
      </c>
      <c r="D29" s="285">
        <f t="shared" si="10"/>
        <v>14</v>
      </c>
      <c r="E29" s="507">
        <f t="shared" si="10"/>
        <v>16.37158469945355</v>
      </c>
      <c r="F29" s="284">
        <f t="shared" si="10"/>
        <v>55</v>
      </c>
      <c r="G29" s="285">
        <f t="shared" si="10"/>
        <v>51</v>
      </c>
      <c r="H29" s="507">
        <f t="shared" si="10"/>
        <v>65.486338797814199</v>
      </c>
      <c r="I29" s="287">
        <f t="shared" si="10"/>
        <v>254</v>
      </c>
      <c r="J29" s="285">
        <f t="shared" si="10"/>
        <v>279</v>
      </c>
      <c r="K29" s="321">
        <f t="shared" si="10"/>
        <v>168</v>
      </c>
      <c r="L29" s="318">
        <f>(I29-J29)/J29</f>
        <v>-8.9605734767025089E-2</v>
      </c>
      <c r="M29" s="319">
        <f>(I29-K29)/K29</f>
        <v>0.51190476190476186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12</v>
      </c>
      <c r="D30" s="273">
        <f>D29+D18</f>
        <v>15</v>
      </c>
      <c r="E30" s="508">
        <f>E18+E29</f>
        <v>18.303278688524589</v>
      </c>
      <c r="F30" s="272">
        <f>F29+F18</f>
        <v>61</v>
      </c>
      <c r="G30" s="273">
        <f>G29+G18</f>
        <v>57</v>
      </c>
      <c r="H30" s="508">
        <f>H18+H29</f>
        <v>73.213114754098356</v>
      </c>
      <c r="I30" s="275">
        <f>I29+I18</f>
        <v>278</v>
      </c>
      <c r="J30" s="273">
        <f>J29+J18</f>
        <v>311</v>
      </c>
      <c r="K30" s="310">
        <f>K29+K18</f>
        <v>181</v>
      </c>
      <c r="L30" s="318">
        <f>(I30-J30)/J30</f>
        <v>-0.10610932475884244</v>
      </c>
      <c r="M30" s="319">
        <f>(I30-K30)/K30</f>
        <v>0.53591160220994472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-33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52" priority="13" stopIfTrue="1" operator="greaterThan">
      <formula>0</formula>
    </cfRule>
  </conditionalFormatting>
  <conditionalFormatting sqref="C11:C17 C20:C28">
    <cfRule type="cellIs" dxfId="151" priority="14" stopIfTrue="1" operator="greaterThan">
      <formula>E11+P11</formula>
    </cfRule>
    <cfRule type="cellIs" dxfId="150" priority="15" stopIfTrue="1" operator="lessThan">
      <formula>E11-P11</formula>
    </cfRule>
  </conditionalFormatting>
  <conditionalFormatting sqref="F11:F17 F20:F28">
    <cfRule type="cellIs" dxfId="149" priority="16" stopIfTrue="1" operator="greaterThan">
      <formula>H11+Q11</formula>
    </cfRule>
    <cfRule type="cellIs" dxfId="148" priority="17" stopIfTrue="1" operator="lessThan">
      <formula>H11-Q11</formula>
    </cfRule>
  </conditionalFormatting>
  <conditionalFormatting sqref="I20:I28 I11:I17">
    <cfRule type="cellIs" dxfId="147" priority="18" stopIfTrue="1" operator="greaterThan">
      <formula>J11+R11</formula>
    </cfRule>
    <cfRule type="cellIs" dxfId="146" priority="19" stopIfTrue="1" operator="lessThan">
      <formula>J11-R11</formula>
    </cfRule>
  </conditionalFormatting>
  <conditionalFormatting sqref="D15:D17">
    <cfRule type="cellIs" dxfId="145" priority="3" stopIfTrue="1" operator="greaterThan">
      <formula>F15+Q15</formula>
    </cfRule>
    <cfRule type="cellIs" dxfId="144" priority="4" stopIfTrue="1" operator="lessThan">
      <formula>F15-Q15</formula>
    </cfRule>
  </conditionalFormatting>
  <conditionalFormatting sqref="D20:D28">
    <cfRule type="cellIs" dxfId="143" priority="1" stopIfTrue="1" operator="greaterThan">
      <formula>F20+Q20</formula>
    </cfRule>
    <cfRule type="cellIs" dxfId="142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166</v>
      </c>
      <c r="I4" s="223" t="s">
        <v>177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Unincorporated!F15</f>
        <v>0</v>
      </c>
      <c r="D11" s="512">
        <f>Unincorporated!F27</f>
        <v>0</v>
      </c>
      <c r="E11" s="505">
        <f>H11/4</f>
        <v>1.912568306010929E-2</v>
      </c>
      <c r="F11" s="265">
        <f>Unincorporated!F39</f>
        <v>0</v>
      </c>
      <c r="G11" s="513">
        <f>Unincorporated!F51</f>
        <v>0</v>
      </c>
      <c r="H11" s="516">
        <v>7.650273224043716E-2</v>
      </c>
      <c r="I11" s="509">
        <f>Unincorporated!F63</f>
        <v>1</v>
      </c>
      <c r="J11" s="263">
        <f>Unincorporated!F75</f>
        <v>0</v>
      </c>
      <c r="K11" s="263">
        <f>Unincorporated!F87</f>
        <v>1</v>
      </c>
      <c r="L11" s="316">
        <f>+(I11-J11)</f>
        <v>1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Unincorporated!M15</f>
        <v>0</v>
      </c>
      <c r="D12" s="512">
        <f>Unincorporated!M27</f>
        <v>0</v>
      </c>
      <c r="E12" s="505">
        <f>H12/4</f>
        <v>3.825136612021858E-2</v>
      </c>
      <c r="F12" s="265">
        <f>Unincorporated!M39</f>
        <v>0</v>
      </c>
      <c r="G12" s="513">
        <f>Unincorporated!M51</f>
        <v>2</v>
      </c>
      <c r="H12" s="517">
        <v>0.15300546448087432</v>
      </c>
      <c r="I12" s="510">
        <f>Unincorporated!M63</f>
        <v>2</v>
      </c>
      <c r="J12" s="263">
        <f>Unincorporated!M75</f>
        <v>1</v>
      </c>
      <c r="K12" s="263">
        <f>Unincorporated!M87</f>
        <v>0</v>
      </c>
      <c r="L12" s="316">
        <f>I12-J12</f>
        <v>1</v>
      </c>
      <c r="M12" s="270">
        <f t="shared" si="0"/>
        <v>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Unincorporated!D15</f>
        <v>0</v>
      </c>
      <c r="D13" s="512">
        <f>Unincorporated!D27</f>
        <v>0</v>
      </c>
      <c r="E13" s="505">
        <f t="shared" ref="E13:E17" si="2">H13/4</f>
        <v>3.825136612021858E-2</v>
      </c>
      <c r="F13" s="265">
        <f>Unincorporated!D39</f>
        <v>0</v>
      </c>
      <c r="G13" s="513">
        <f>Unincorporated!D51</f>
        <v>0</v>
      </c>
      <c r="H13" s="517">
        <v>0.15300546448087432</v>
      </c>
      <c r="I13" s="510">
        <f>Unincorporated!D63</f>
        <v>1</v>
      </c>
      <c r="J13" s="263">
        <f>Unincorporated!D75</f>
        <v>1</v>
      </c>
      <c r="K13" s="263">
        <f>Unincorporated!D87</f>
        <v>0</v>
      </c>
      <c r="L13" s="316">
        <f>+(I13-J13)</f>
        <v>0</v>
      </c>
      <c r="M13" s="270">
        <f t="shared" si="0"/>
        <v>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Unincorporated!Q15</f>
        <v>0</v>
      </c>
      <c r="D14" s="512">
        <f>Unincorporated!Q27</f>
        <v>0</v>
      </c>
      <c r="E14" s="505">
        <f>H14/4</f>
        <v>0.11475409836065574</v>
      </c>
      <c r="F14" s="265">
        <f>Unincorporated!Q39</f>
        <v>0</v>
      </c>
      <c r="G14" s="513">
        <f>Unincorporated!Q51</f>
        <v>0</v>
      </c>
      <c r="H14" s="517">
        <v>0.45901639344262296</v>
      </c>
      <c r="I14" s="510">
        <f>Unincorporated!Q63</f>
        <v>1</v>
      </c>
      <c r="J14" s="263">
        <f>Unincorporated!Q75</f>
        <v>1</v>
      </c>
      <c r="K14" s="263">
        <f>Unincorporated!Q87</f>
        <v>4</v>
      </c>
      <c r="L14" s="316">
        <f>+(I14-J14)</f>
        <v>0</v>
      </c>
      <c r="M14" s="270">
        <f t="shared" si="0"/>
        <v>-3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Unincorporated!O15</f>
        <v>0</v>
      </c>
      <c r="D15" s="512">
        <f>Unincorporated!O27</f>
        <v>1</v>
      </c>
      <c r="E15" s="505">
        <f t="shared" si="2"/>
        <v>0</v>
      </c>
      <c r="F15" s="265">
        <f>Unincorporated!O39</f>
        <v>1</v>
      </c>
      <c r="G15" s="513">
        <f>Unincorporated!O51</f>
        <v>0</v>
      </c>
      <c r="H15" s="517">
        <v>0</v>
      </c>
      <c r="I15" s="510">
        <f>Unincorporated!O63</f>
        <v>1</v>
      </c>
      <c r="J15" s="263">
        <f>Unincorporated!O75</f>
        <v>0</v>
      </c>
      <c r="K15" s="263">
        <f>Unincorporated!O87</f>
        <v>1</v>
      </c>
      <c r="L15" s="316">
        <f>+(I15-J15)</f>
        <v>1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Unincorporated!E15</f>
        <v>0</v>
      </c>
      <c r="D16" s="512">
        <f>Unincorporated!E27</f>
        <v>0</v>
      </c>
      <c r="E16" s="505">
        <f t="shared" si="2"/>
        <v>0.36338797814207652</v>
      </c>
      <c r="F16" s="265">
        <f>Unincorporated!E39</f>
        <v>0</v>
      </c>
      <c r="G16" s="513">
        <f>Unincorporated!E51</f>
        <v>0</v>
      </c>
      <c r="H16" s="517">
        <v>1.4535519125683061</v>
      </c>
      <c r="I16" s="510">
        <f>Unincorporated!E63</f>
        <v>1</v>
      </c>
      <c r="J16" s="263">
        <f>Unincorporated!E75</f>
        <v>0</v>
      </c>
      <c r="K16" s="263">
        <f>Unincorporated!E87</f>
        <v>3</v>
      </c>
      <c r="L16" s="316">
        <f>+(I16-J16)</f>
        <v>1</v>
      </c>
      <c r="M16" s="270">
        <f t="shared" si="0"/>
        <v>-2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Unincorporated!J15</f>
        <v>0</v>
      </c>
      <c r="D17" s="512">
        <f>Unincorporated!J27</f>
        <v>0</v>
      </c>
      <c r="E17" s="505">
        <f t="shared" si="2"/>
        <v>0.21038251366120217</v>
      </c>
      <c r="F17" s="265">
        <f>Unincorporated!J39</f>
        <v>0</v>
      </c>
      <c r="G17" s="513">
        <f>Unincorporated!J51</f>
        <v>0</v>
      </c>
      <c r="H17" s="517">
        <v>0.84153005464480868</v>
      </c>
      <c r="I17" s="510">
        <f>Unincorporated!J63</f>
        <v>3</v>
      </c>
      <c r="J17" s="263">
        <f>Unincorporated!J75</f>
        <v>1</v>
      </c>
      <c r="K17" s="263">
        <f>Unincorporated!J87</f>
        <v>1</v>
      </c>
      <c r="L17" s="316">
        <f>I17-J17</f>
        <v>2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1</v>
      </c>
      <c r="E18" s="506">
        <f>SUM(E11:E17)</f>
        <v>0.78415300546448086</v>
      </c>
      <c r="F18" s="272">
        <f t="shared" si="5"/>
        <v>1</v>
      </c>
      <c r="G18" s="273">
        <f t="shared" si="5"/>
        <v>2</v>
      </c>
      <c r="H18" s="506">
        <f>SUM(H11:H17)</f>
        <v>3.1366120218579234</v>
      </c>
      <c r="I18" s="273">
        <f t="shared" si="5"/>
        <v>10</v>
      </c>
      <c r="J18" s="273">
        <f t="shared" si="5"/>
        <v>4</v>
      </c>
      <c r="K18" s="273">
        <f t="shared" si="5"/>
        <v>10</v>
      </c>
      <c r="L18" s="318">
        <f>(I18-J18)/J18</f>
        <v>1.5</v>
      </c>
      <c r="M18" s="319">
        <f>(I18-K18)/K18</f>
        <v>0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Unincorporated!C15</f>
        <v>0</v>
      </c>
      <c r="D20" s="512">
        <f>Unincorporated!C27</f>
        <v>0</v>
      </c>
      <c r="E20" s="505">
        <f t="shared" ref="E20:E27" si="6">H20/4</f>
        <v>0.19125683060109289</v>
      </c>
      <c r="F20" s="265">
        <f>Unincorporated!C39</f>
        <v>0</v>
      </c>
      <c r="G20" s="263">
        <f>Unincorporated!C51</f>
        <v>1</v>
      </c>
      <c r="H20" s="519">
        <v>0.76502732240437155</v>
      </c>
      <c r="I20" s="265">
        <f>Unincorporated!C63</f>
        <v>1</v>
      </c>
      <c r="J20" s="263">
        <f>Unincorporated!C75</f>
        <v>2</v>
      </c>
      <c r="K20" s="263">
        <f>Unincorporated!C87</f>
        <v>2</v>
      </c>
      <c r="L20" s="316">
        <f>I20-J20</f>
        <v>-1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Unincorporated!N15</f>
        <v>6</v>
      </c>
      <c r="D21" s="512">
        <f>Unincorporated!N27</f>
        <v>4</v>
      </c>
      <c r="E21" s="505">
        <f t="shared" si="6"/>
        <v>2.5819672131147544</v>
      </c>
      <c r="F21" s="265">
        <f>Unincorporated!N39</f>
        <v>12</v>
      </c>
      <c r="G21" s="263">
        <f>Unincorporated!N51</f>
        <v>6</v>
      </c>
      <c r="H21" s="505">
        <v>10.327868852459018</v>
      </c>
      <c r="I21" s="265">
        <f>Unincorporated!N63</f>
        <v>24</v>
      </c>
      <c r="J21" s="263">
        <f>Unincorporated!N75</f>
        <v>17</v>
      </c>
      <c r="K21" s="263">
        <f>Unincorporated!N87</f>
        <v>14</v>
      </c>
      <c r="L21" s="316">
        <f t="shared" ref="L21:L27" si="8">+(I21-J21)</f>
        <v>7</v>
      </c>
      <c r="M21" s="270">
        <f t="shared" ref="M21:M27" si="9">I21-K21</f>
        <v>10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Unincorporated!L15</f>
        <v>0</v>
      </c>
      <c r="D22" s="512">
        <f>Unincorporated!L27</f>
        <v>0</v>
      </c>
      <c r="E22" s="505">
        <f>H22/4</f>
        <v>0.11475409836065574</v>
      </c>
      <c r="F22" s="265">
        <f>Unincorporated!L39</f>
        <v>0</v>
      </c>
      <c r="G22" s="263">
        <f>Unincorporated!L51</f>
        <v>0</v>
      </c>
      <c r="H22" s="505">
        <v>0.45901639344262296</v>
      </c>
      <c r="I22" s="265">
        <f>Unincorporated!L63</f>
        <v>0</v>
      </c>
      <c r="J22" s="263">
        <f>Unincorporated!L75</f>
        <v>3</v>
      </c>
      <c r="K22" s="263">
        <f>Unincorporated!L87</f>
        <v>0</v>
      </c>
      <c r="L22" s="316">
        <f t="shared" si="8"/>
        <v>-3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Unincorporated!P15</f>
        <v>1</v>
      </c>
      <c r="D23" s="512">
        <f>Unincorporated!P27</f>
        <v>1</v>
      </c>
      <c r="E23" s="505">
        <f t="shared" si="6"/>
        <v>3.4234972677595628</v>
      </c>
      <c r="F23" s="265">
        <f>Unincorporated!P39</f>
        <v>4</v>
      </c>
      <c r="G23" s="263">
        <f>Unincorporated!P51</f>
        <v>0</v>
      </c>
      <c r="H23" s="505">
        <v>13.693989071038251</v>
      </c>
      <c r="I23" s="265">
        <f>Unincorporated!P63</f>
        <v>15</v>
      </c>
      <c r="J23" s="263">
        <f>Unincorporated!P75</f>
        <v>28</v>
      </c>
      <c r="K23" s="263">
        <f>Unincorporated!Q87</f>
        <v>4</v>
      </c>
      <c r="L23" s="316">
        <f t="shared" si="8"/>
        <v>-13</v>
      </c>
      <c r="M23" s="270">
        <f t="shared" si="9"/>
        <v>11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Unincorporated!G15</f>
        <v>1</v>
      </c>
      <c r="D24" s="512">
        <f>Unincorporated!G27</f>
        <v>0</v>
      </c>
      <c r="E24" s="505">
        <f>H24/4</f>
        <v>2.0655737704918034</v>
      </c>
      <c r="F24" s="265">
        <f>Unincorporated!G39</f>
        <v>3</v>
      </c>
      <c r="G24" s="263">
        <f>Unincorporated!G51</f>
        <v>7</v>
      </c>
      <c r="H24" s="505">
        <v>8.2622950819672134</v>
      </c>
      <c r="I24" s="265">
        <f>Unincorporated!G63</f>
        <v>22</v>
      </c>
      <c r="J24" s="263">
        <f>Unincorporated!G75</f>
        <v>22</v>
      </c>
      <c r="K24" s="263">
        <f>Unincorporated!G87</f>
        <v>16</v>
      </c>
      <c r="L24" s="316">
        <f t="shared" si="8"/>
        <v>0</v>
      </c>
      <c r="M24" s="270">
        <f t="shared" si="9"/>
        <v>6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Unincorporated!I15</f>
        <v>0</v>
      </c>
      <c r="D25" s="512">
        <f>Unincorporated!I27</f>
        <v>1</v>
      </c>
      <c r="E25" s="505">
        <f t="shared" si="6"/>
        <v>1.1475409836065573</v>
      </c>
      <c r="F25" s="265">
        <f>Unincorporated!I39</f>
        <v>4</v>
      </c>
      <c r="G25" s="263">
        <f>Unincorporated!I51</f>
        <v>1</v>
      </c>
      <c r="H25" s="505">
        <v>4.5901639344262293</v>
      </c>
      <c r="I25" s="265">
        <f>Unincorporated!I63</f>
        <v>10</v>
      </c>
      <c r="J25" s="263">
        <f>Unincorporated!I75</f>
        <v>8</v>
      </c>
      <c r="K25" s="263">
        <f>Unincorporated!I87</f>
        <v>7</v>
      </c>
      <c r="L25" s="316">
        <f t="shared" si="8"/>
        <v>2</v>
      </c>
      <c r="M25" s="270">
        <f t="shared" si="9"/>
        <v>3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Unincorporated!H15</f>
        <v>0</v>
      </c>
      <c r="D26" s="512">
        <f>Unincorporated!H27</f>
        <v>1</v>
      </c>
      <c r="E26" s="505">
        <f t="shared" si="6"/>
        <v>1.4535519125683061</v>
      </c>
      <c r="F26" s="265">
        <f>Unincorporated!H39</f>
        <v>1</v>
      </c>
      <c r="G26" s="263">
        <f>Unincorporated!H51</f>
        <v>2</v>
      </c>
      <c r="H26" s="505">
        <v>5.8142076502732243</v>
      </c>
      <c r="I26" s="265">
        <f>Unincorporated!H63</f>
        <v>12</v>
      </c>
      <c r="J26" s="263">
        <f>Unincorporated!H75</f>
        <v>18</v>
      </c>
      <c r="K26" s="263">
        <f>Unincorporated!H87</f>
        <v>14</v>
      </c>
      <c r="L26" s="316">
        <f>+(I26-J26)</f>
        <v>-6</v>
      </c>
      <c r="M26" s="270">
        <f>I26-K26</f>
        <v>-2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Unincorporated!K15</f>
        <v>0</v>
      </c>
      <c r="D27" s="512">
        <f>Unincorporated!K27</f>
        <v>0</v>
      </c>
      <c r="E27" s="505">
        <f t="shared" si="6"/>
        <v>0.42076502732240434</v>
      </c>
      <c r="F27" s="265">
        <f>Unincorporated!K39</f>
        <v>0</v>
      </c>
      <c r="G27" s="263">
        <f>Unincorporated!K51</f>
        <v>1</v>
      </c>
      <c r="H27" s="505">
        <v>1.6830601092896174</v>
      </c>
      <c r="I27" s="265">
        <f>Unincorporated!K63</f>
        <v>2</v>
      </c>
      <c r="J27" s="263">
        <f>Unincorporated!K75</f>
        <v>10</v>
      </c>
      <c r="K27" s="263">
        <f>Unincorporated!K87</f>
        <v>3</v>
      </c>
      <c r="L27" s="316">
        <f t="shared" si="8"/>
        <v>-8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Unincorporated!B15</f>
        <v>1</v>
      </c>
      <c r="D28" s="512">
        <f>Unincorporated!B27</f>
        <v>0</v>
      </c>
      <c r="E28" s="505">
        <f>H28/4</f>
        <v>0.76502732240437155</v>
      </c>
      <c r="F28" s="265">
        <f>Unincorporated!B39</f>
        <v>1</v>
      </c>
      <c r="G28" s="263">
        <f>Unincorporated!B51</f>
        <v>2</v>
      </c>
      <c r="H28" s="505">
        <v>3.0601092896174862</v>
      </c>
      <c r="I28" s="265">
        <f>Unincorporated!B63</f>
        <v>8</v>
      </c>
      <c r="J28" s="263">
        <f>Unincorporated!B75</f>
        <v>7</v>
      </c>
      <c r="K28" s="263">
        <f>Unincorporated!B87</f>
        <v>4</v>
      </c>
      <c r="L28" s="316">
        <f>I28-J28</f>
        <v>1</v>
      </c>
      <c r="M28" s="270">
        <f>I28-K28</f>
        <v>4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9</v>
      </c>
      <c r="D29" s="285">
        <f t="shared" si="10"/>
        <v>7</v>
      </c>
      <c r="E29" s="507">
        <f t="shared" si="10"/>
        <v>12.16393442622951</v>
      </c>
      <c r="F29" s="284">
        <f t="shared" si="10"/>
        <v>25</v>
      </c>
      <c r="G29" s="285">
        <f t="shared" si="10"/>
        <v>20</v>
      </c>
      <c r="H29" s="507">
        <f t="shared" si="10"/>
        <v>48.655737704918039</v>
      </c>
      <c r="I29" s="287">
        <f t="shared" si="10"/>
        <v>94</v>
      </c>
      <c r="J29" s="285">
        <f t="shared" si="10"/>
        <v>115</v>
      </c>
      <c r="K29" s="321">
        <f t="shared" si="10"/>
        <v>64</v>
      </c>
      <c r="L29" s="318">
        <f>(I29-J29)/J29</f>
        <v>-0.18260869565217391</v>
      </c>
      <c r="M29" s="319">
        <f>(I29-K29)/K29</f>
        <v>0.46875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9</v>
      </c>
      <c r="D30" s="273">
        <f>D29+D18</f>
        <v>8</v>
      </c>
      <c r="E30" s="508">
        <f>E18+E29</f>
        <v>12.94808743169399</v>
      </c>
      <c r="F30" s="272">
        <f>F29+F18</f>
        <v>26</v>
      </c>
      <c r="G30" s="273">
        <f>G29+G18</f>
        <v>22</v>
      </c>
      <c r="H30" s="508">
        <f>H18+H29</f>
        <v>51.79234972677596</v>
      </c>
      <c r="I30" s="275">
        <f>I29+I18</f>
        <v>104</v>
      </c>
      <c r="J30" s="273">
        <f>J29+J18</f>
        <v>119</v>
      </c>
      <c r="K30" s="310">
        <f>K29+K18</f>
        <v>74</v>
      </c>
      <c r="L30" s="318">
        <f>(I30-J30)/J30</f>
        <v>-0.12605042016806722</v>
      </c>
      <c r="M30" s="319">
        <f>(I30-K30)/K30</f>
        <v>0.40540540540540543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-15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41" priority="1" stopIfTrue="1" operator="greaterThan">
      <formula>0</formula>
    </cfRule>
  </conditionalFormatting>
  <conditionalFormatting sqref="C11:C17 C20:C28">
    <cfRule type="cellIs" dxfId="140" priority="2" stopIfTrue="1" operator="greaterThan">
      <formula>E11+P11</formula>
    </cfRule>
    <cfRule type="cellIs" dxfId="139" priority="3" stopIfTrue="1" operator="lessThan">
      <formula>E11-P11</formula>
    </cfRule>
  </conditionalFormatting>
  <conditionalFormatting sqref="F11:F17 F20:F28">
    <cfRule type="cellIs" dxfId="138" priority="4" stopIfTrue="1" operator="greaterThan">
      <formula>H11+Q11</formula>
    </cfRule>
    <cfRule type="cellIs" dxfId="137" priority="5" stopIfTrue="1" operator="lessThan">
      <formula>H11-Q11</formula>
    </cfRule>
  </conditionalFormatting>
  <conditionalFormatting sqref="I20:I28 I11:I17">
    <cfRule type="cellIs" dxfId="136" priority="6" stopIfTrue="1" operator="greaterThan">
      <formula>J11+R11</formula>
    </cfRule>
    <cfRule type="cellIs" dxfId="135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171</v>
      </c>
      <c r="I4" s="221" t="s">
        <v>168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H5" s="514" t="s">
        <v>169</v>
      </c>
      <c r="I5" s="223" t="s">
        <v>175</v>
      </c>
      <c r="L5"/>
      <c r="N5" s="216"/>
      <c r="P5" s="215" t="s">
        <v>56</v>
      </c>
    </row>
    <row r="6" spans="1:27" ht="21" customHeight="1" thickBot="1" x14ac:dyDescent="0.25">
      <c r="A6" s="216"/>
      <c r="H6" s="520" t="s">
        <v>170</v>
      </c>
      <c r="I6" s="521" t="s">
        <v>172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Unincorporated!F18</f>
        <v>0</v>
      </c>
      <c r="D11" s="512">
        <f>Unincorporated!F30</f>
        <v>0</v>
      </c>
      <c r="E11" s="505">
        <f>H11/4</f>
        <v>0</v>
      </c>
      <c r="F11" s="265">
        <f>Unincorporated!F42</f>
        <v>0</v>
      </c>
      <c r="G11" s="513">
        <f>Unincorporated!F54</f>
        <v>0</v>
      </c>
      <c r="H11" s="516">
        <v>0</v>
      </c>
      <c r="I11" s="509">
        <f>Unincorporated!F66</f>
        <v>0</v>
      </c>
      <c r="J11" s="263">
        <f>Unincorporated!F78</f>
        <v>0</v>
      </c>
      <c r="K11" s="263">
        <f>Unincorporated!F90</f>
        <v>0</v>
      </c>
      <c r="L11" s="316">
        <f>+(I11-J11)</f>
        <v>0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Unincorporated!M18</f>
        <v>0</v>
      </c>
      <c r="D12" s="512">
        <f>Unincorporated!M30</f>
        <v>0</v>
      </c>
      <c r="E12" s="505">
        <f>H12/4</f>
        <v>0</v>
      </c>
      <c r="F12" s="265">
        <f>Unincorporated!M42</f>
        <v>0</v>
      </c>
      <c r="G12" s="513">
        <f>Unincorporated!M54</f>
        <v>0</v>
      </c>
      <c r="H12" s="517">
        <v>0</v>
      </c>
      <c r="I12" s="510">
        <f>Unincorporated!M66</f>
        <v>0</v>
      </c>
      <c r="J12" s="263">
        <f>Unincorporated!M78</f>
        <v>0</v>
      </c>
      <c r="K12" s="263">
        <f>Unincorporated!M90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Unincorporated!D18</f>
        <v>0</v>
      </c>
      <c r="D13" s="512">
        <f>Unincorporated!D30</f>
        <v>0</v>
      </c>
      <c r="E13" s="505">
        <f t="shared" ref="E13:E17" si="2">H13/4</f>
        <v>0</v>
      </c>
      <c r="F13" s="265">
        <f>Unincorporated!D42</f>
        <v>0</v>
      </c>
      <c r="G13" s="513">
        <f>Unincorporated!D54</f>
        <v>0</v>
      </c>
      <c r="H13" s="517">
        <v>0</v>
      </c>
      <c r="I13" s="510">
        <f>Unincorporated!D66</f>
        <v>0</v>
      </c>
      <c r="J13" s="263">
        <f>Unincorporated!D78</f>
        <v>0</v>
      </c>
      <c r="K13" s="263">
        <f>Unincorporated!D90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Unincorporated!Q18</f>
        <v>0</v>
      </c>
      <c r="D14" s="512">
        <f>Unincorporated!Q30</f>
        <v>0</v>
      </c>
      <c r="E14" s="505">
        <f>H14/4</f>
        <v>1.912568306010929E-2</v>
      </c>
      <c r="F14" s="265">
        <f>Unincorporated!Q42</f>
        <v>0</v>
      </c>
      <c r="G14" s="513">
        <f>Unincorporated!Q54</f>
        <v>0</v>
      </c>
      <c r="H14" s="517">
        <v>7.650273224043716E-2</v>
      </c>
      <c r="I14" s="510">
        <f>Unincorporated!Q66</f>
        <v>0</v>
      </c>
      <c r="J14" s="263">
        <f>Unincorporated!Q78</f>
        <v>0</v>
      </c>
      <c r="K14" s="263">
        <f>Unincorporated!Q90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Unincorporated!O18</f>
        <v>0</v>
      </c>
      <c r="D15" s="512">
        <f>Unincorporated!O30</f>
        <v>0</v>
      </c>
      <c r="E15" s="505">
        <f t="shared" si="2"/>
        <v>0</v>
      </c>
      <c r="F15" s="265">
        <f>Unincorporated!O42</f>
        <v>0</v>
      </c>
      <c r="G15" s="513">
        <f>Unincorporated!O54</f>
        <v>0</v>
      </c>
      <c r="H15" s="517">
        <v>0</v>
      </c>
      <c r="I15" s="510">
        <f>Unincorporated!O66</f>
        <v>0</v>
      </c>
      <c r="J15" s="263">
        <f>Unincorporated!O78</f>
        <v>0</v>
      </c>
      <c r="K15" s="263">
        <f>Unincorporated!O90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Unincorporated!E18</f>
        <v>0</v>
      </c>
      <c r="D16" s="512">
        <f>Unincorporated!E30</f>
        <v>0</v>
      </c>
      <c r="E16" s="505">
        <f t="shared" si="2"/>
        <v>0</v>
      </c>
      <c r="F16" s="265">
        <f>Unincorporated!E42</f>
        <v>0</v>
      </c>
      <c r="G16" s="513">
        <f>Unincorporated!E54</f>
        <v>0</v>
      </c>
      <c r="H16" s="517">
        <v>0</v>
      </c>
      <c r="I16" s="510">
        <f>Unincorporated!E66</f>
        <v>0</v>
      </c>
      <c r="J16" s="263">
        <f>Unincorporated!E78</f>
        <v>0</v>
      </c>
      <c r="K16" s="263">
        <f>Unincorporated!E90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</f>
        <v>0</v>
      </c>
      <c r="D17" s="512">
        <f>Unincorporated!J30</f>
        <v>0</v>
      </c>
      <c r="E17" s="505">
        <f t="shared" si="2"/>
        <v>3.825136612021858E-2</v>
      </c>
      <c r="F17" s="265">
        <f>Unincorporated!J42</f>
        <v>0</v>
      </c>
      <c r="G17" s="513">
        <f>Unincorporated!J54</f>
        <v>0</v>
      </c>
      <c r="H17" s="517">
        <v>0.15300546448087432</v>
      </c>
      <c r="I17" s="510">
        <f>Unincorporated!J66</f>
        <v>0</v>
      </c>
      <c r="J17" s="263">
        <f>Unincorporated!J78</f>
        <v>0</v>
      </c>
      <c r="K17" s="263">
        <f>Unincorporated!J90</f>
        <v>1</v>
      </c>
      <c r="L17" s="316">
        <f>I17-J17</f>
        <v>0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0</v>
      </c>
      <c r="G18" s="273">
        <f t="shared" si="5"/>
        <v>0</v>
      </c>
      <c r="H18" s="506">
        <f>SUM(H11:H17)</f>
        <v>0.22950819672131148</v>
      </c>
      <c r="I18" s="273">
        <f t="shared" si="5"/>
        <v>0</v>
      </c>
      <c r="J18" s="273">
        <f t="shared" si="5"/>
        <v>0</v>
      </c>
      <c r="K18" s="273">
        <f t="shared" si="5"/>
        <v>1</v>
      </c>
      <c r="L18" s="318" t="e">
        <f>(I18-J18)/J18</f>
        <v>#DIV/0!</v>
      </c>
      <c r="M18" s="319">
        <f>(I18-K18)/K18</f>
        <v>-1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Unincorporated!C18</f>
        <v>0</v>
      </c>
      <c r="D20" s="512">
        <f>Unincorporated!C30</f>
        <v>0</v>
      </c>
      <c r="E20" s="505">
        <f t="shared" ref="E20:E27" si="6">H20/4</f>
        <v>1.912568306010929E-2</v>
      </c>
      <c r="F20" s="265">
        <f>Unincorporated!C42</f>
        <v>0</v>
      </c>
      <c r="G20" s="263">
        <f>Unincorporated!C54</f>
        <v>0</v>
      </c>
      <c r="H20" s="519">
        <v>7.650273224043716E-2</v>
      </c>
      <c r="I20" s="265">
        <f>Unincorporated!C66</f>
        <v>0</v>
      </c>
      <c r="J20" s="263">
        <f>Unincorporated!C78</f>
        <v>0</v>
      </c>
      <c r="K20" s="263">
        <f>Unincorporated!C90</f>
        <v>0</v>
      </c>
      <c r="L20" s="316">
        <f>I20-J20</f>
        <v>0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Unincorporated!N18</f>
        <v>0</v>
      </c>
      <c r="D21" s="512">
        <f>Unincorporated!N30</f>
        <v>1</v>
      </c>
      <c r="E21" s="505">
        <f t="shared" si="6"/>
        <v>0.49726775956284153</v>
      </c>
      <c r="F21" s="265">
        <f>Unincorporated!N42</f>
        <v>1</v>
      </c>
      <c r="G21" s="263">
        <f>Unincorporated!N54</f>
        <v>0</v>
      </c>
      <c r="H21" s="505">
        <v>1.9890710382513661</v>
      </c>
      <c r="I21" s="265">
        <f>Unincorporated!N66</f>
        <v>1</v>
      </c>
      <c r="J21" s="263">
        <f>Unincorporated!N78</f>
        <v>1</v>
      </c>
      <c r="K21" s="263">
        <f>Unincorporated!N90</f>
        <v>2</v>
      </c>
      <c r="L21" s="316">
        <f t="shared" ref="L21:L27" si="8">+(I21-J21)</f>
        <v>0</v>
      </c>
      <c r="M21" s="270">
        <f t="shared" ref="M21:M27" si="9">I21-K21</f>
        <v>-1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Unincorporated!L18</f>
        <v>0</v>
      </c>
      <c r="D22" s="512">
        <f>Unincorporated!L30</f>
        <v>0</v>
      </c>
      <c r="E22" s="505">
        <f>H22/4</f>
        <v>1.912568306010929E-2</v>
      </c>
      <c r="F22" s="265">
        <f>Unincorporated!L42</f>
        <v>0</v>
      </c>
      <c r="G22" s="263">
        <f>Unincorporated!L54</f>
        <v>0</v>
      </c>
      <c r="H22" s="505">
        <v>7.650273224043716E-2</v>
      </c>
      <c r="I22" s="265">
        <f>Unincorporated!L66</f>
        <v>0</v>
      </c>
      <c r="J22" s="263">
        <f>Unincorporated!L78</f>
        <v>0</v>
      </c>
      <c r="K22" s="263">
        <f>Unincorporated!L90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Unincorporated!P18</f>
        <v>0</v>
      </c>
      <c r="D23" s="512">
        <f>Unincorporated!P30</f>
        <v>1</v>
      </c>
      <c r="E23" s="505">
        <f t="shared" si="6"/>
        <v>0.11475409836065574</v>
      </c>
      <c r="F23" s="265">
        <f>Unincorporated!P42</f>
        <v>0</v>
      </c>
      <c r="G23" s="263">
        <f>Unincorporated!P54</f>
        <v>1</v>
      </c>
      <c r="H23" s="505">
        <v>0.45901639344262296</v>
      </c>
      <c r="I23" s="265">
        <f>Unincorporated!P66</f>
        <v>1</v>
      </c>
      <c r="J23" s="263">
        <f>Unincorporated!P78</f>
        <v>0</v>
      </c>
      <c r="K23" s="263">
        <f>Unincorporated!P90</f>
        <v>0</v>
      </c>
      <c r="L23" s="316">
        <f t="shared" si="8"/>
        <v>1</v>
      </c>
      <c r="M23" s="270">
        <f t="shared" si="9"/>
        <v>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Unincorporated!G18</f>
        <v>0</v>
      </c>
      <c r="D24" s="512">
        <f>Unincorporated!G30</f>
        <v>0</v>
      </c>
      <c r="E24" s="505">
        <f>H24/4</f>
        <v>0.99453551912568305</v>
      </c>
      <c r="F24" s="265">
        <f>Unincorporated!G42</f>
        <v>1</v>
      </c>
      <c r="G24" s="263">
        <f>Unincorporated!G54</f>
        <v>0</v>
      </c>
      <c r="H24" s="505">
        <v>3.9781420765027322</v>
      </c>
      <c r="I24" s="265">
        <f>Unincorporated!G66</f>
        <v>1</v>
      </c>
      <c r="J24" s="263">
        <f>Unincorporated!G78</f>
        <v>0</v>
      </c>
      <c r="K24" s="263">
        <f>Unincorporated!G90</f>
        <v>0</v>
      </c>
      <c r="L24" s="316">
        <f t="shared" si="8"/>
        <v>1</v>
      </c>
      <c r="M24" s="270">
        <f t="shared" si="9"/>
        <v>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Unincorporated!I18</f>
        <v>0</v>
      </c>
      <c r="D25" s="512">
        <f>Unincorporated!I30</f>
        <v>0</v>
      </c>
      <c r="E25" s="505">
        <f t="shared" si="6"/>
        <v>0.51639344262295084</v>
      </c>
      <c r="F25" s="265">
        <f>Unincorporated!I42</f>
        <v>0</v>
      </c>
      <c r="G25" s="263">
        <f>Unincorporated!I54</f>
        <v>0</v>
      </c>
      <c r="H25" s="505">
        <v>2.0655737704918034</v>
      </c>
      <c r="I25" s="265">
        <f>Unincorporated!I66</f>
        <v>0</v>
      </c>
      <c r="J25" s="263">
        <f>Unincorporated!I78</f>
        <v>1</v>
      </c>
      <c r="K25" s="263">
        <f>Unincorporated!I90</f>
        <v>2</v>
      </c>
      <c r="L25" s="316">
        <f t="shared" si="8"/>
        <v>-1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Unincorporated!H18</f>
        <v>0</v>
      </c>
      <c r="D26" s="512">
        <f>Unincorporated!H30</f>
        <v>0</v>
      </c>
      <c r="E26" s="505">
        <f t="shared" si="6"/>
        <v>0.40163934426229508</v>
      </c>
      <c r="F26" s="265">
        <f>Unincorporated!H42</f>
        <v>0</v>
      </c>
      <c r="G26" s="263">
        <f>Unincorporated!H54</f>
        <v>0</v>
      </c>
      <c r="H26" s="505">
        <v>1.6065573770491803</v>
      </c>
      <c r="I26" s="265">
        <f>Unincorporated!H66</f>
        <v>1</v>
      </c>
      <c r="J26" s="263">
        <f>Unincorporated!H78</f>
        <v>0</v>
      </c>
      <c r="K26" s="263">
        <f>Unincorporated!H90</f>
        <v>0</v>
      </c>
      <c r="L26" s="316">
        <f>+(I26-J26)</f>
        <v>1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Unincorporated!K18</f>
        <v>0</v>
      </c>
      <c r="D27" s="512">
        <f>Unincorporated!K30</f>
        <v>0</v>
      </c>
      <c r="E27" s="505">
        <f t="shared" si="6"/>
        <v>5.737704918032787E-2</v>
      </c>
      <c r="F27" s="265">
        <f>Unincorporated!K42</f>
        <v>1</v>
      </c>
      <c r="G27" s="263">
        <f>Unincorporated!K54</f>
        <v>0</v>
      </c>
      <c r="H27" s="505">
        <v>0.22950819672131148</v>
      </c>
      <c r="I27" s="265">
        <f>Unincorporated!K66</f>
        <v>1</v>
      </c>
      <c r="J27" s="263">
        <f>Unincorporated!K78</f>
        <v>0</v>
      </c>
      <c r="K27" s="263">
        <f>Unincorporated!K90</f>
        <v>0</v>
      </c>
      <c r="L27" s="316">
        <f t="shared" si="8"/>
        <v>1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Unincorporated!B18</f>
        <v>0</v>
      </c>
      <c r="D28" s="512">
        <f>Unincorporated!B30</f>
        <v>0</v>
      </c>
      <c r="E28" s="505">
        <f>H28/4</f>
        <v>0.1721311475409836</v>
      </c>
      <c r="F28" s="265">
        <f>Unincorporated!B42</f>
        <v>0</v>
      </c>
      <c r="G28" s="263">
        <f>Unincorporated!B54</f>
        <v>0</v>
      </c>
      <c r="H28" s="505">
        <v>0.68852459016393441</v>
      </c>
      <c r="I28" s="265">
        <f>Unincorporated!B66</f>
        <v>1</v>
      </c>
      <c r="J28" s="263">
        <f>Unincorporated!B78</f>
        <v>0</v>
      </c>
      <c r="K28" s="263">
        <f>Unincorporated!B90</f>
        <v>0</v>
      </c>
      <c r="L28" s="316">
        <f>I28-J28</f>
        <v>1</v>
      </c>
      <c r="M28" s="270">
        <f>I28-K28</f>
        <v>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0</v>
      </c>
      <c r="D29" s="285">
        <f t="shared" si="10"/>
        <v>2</v>
      </c>
      <c r="E29" s="507">
        <f t="shared" si="10"/>
        <v>2.7923497267759565</v>
      </c>
      <c r="F29" s="284">
        <f t="shared" si="10"/>
        <v>3</v>
      </c>
      <c r="G29" s="285">
        <f t="shared" si="10"/>
        <v>1</v>
      </c>
      <c r="H29" s="507">
        <f t="shared" si="10"/>
        <v>11.169398907103826</v>
      </c>
      <c r="I29" s="287">
        <f t="shared" si="10"/>
        <v>6</v>
      </c>
      <c r="J29" s="285">
        <f t="shared" si="10"/>
        <v>2</v>
      </c>
      <c r="K29" s="321">
        <f t="shared" si="10"/>
        <v>4</v>
      </c>
      <c r="L29" s="318">
        <f>(I29-J29)/J29</f>
        <v>2</v>
      </c>
      <c r="M29" s="319">
        <f>(I29-K29)/K29</f>
        <v>0.5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0</v>
      </c>
      <c r="D30" s="273">
        <f>D29+D18</f>
        <v>2</v>
      </c>
      <c r="E30" s="508">
        <f>E18+E29</f>
        <v>2.8497267759562845</v>
      </c>
      <c r="F30" s="272">
        <f>F29+F18</f>
        <v>3</v>
      </c>
      <c r="G30" s="273">
        <f>G29+G18</f>
        <v>1</v>
      </c>
      <c r="H30" s="508">
        <f>H18+H29</f>
        <v>11.398907103825138</v>
      </c>
      <c r="I30" s="275">
        <f>I29+I18</f>
        <v>6</v>
      </c>
      <c r="J30" s="273">
        <f>J29+J18</f>
        <v>2</v>
      </c>
      <c r="K30" s="310">
        <f>K29+K18</f>
        <v>5</v>
      </c>
      <c r="L30" s="318">
        <f>(I30-J30)/J30</f>
        <v>2</v>
      </c>
      <c r="M30" s="319">
        <f>(I30-K30)/K30</f>
        <v>0.2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4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34" priority="1" stopIfTrue="1" operator="greaterThan">
      <formula>0</formula>
    </cfRule>
  </conditionalFormatting>
  <conditionalFormatting sqref="C11:C17 C20:C28">
    <cfRule type="cellIs" dxfId="133" priority="2" stopIfTrue="1" operator="greaterThan">
      <formula>E11+P11</formula>
    </cfRule>
    <cfRule type="cellIs" dxfId="132" priority="3" stopIfTrue="1" operator="lessThan">
      <formula>E11-P11</formula>
    </cfRule>
  </conditionalFormatting>
  <conditionalFormatting sqref="F11:F17 F20:F28">
    <cfRule type="cellIs" dxfId="131" priority="4" stopIfTrue="1" operator="greaterThan">
      <formula>H11+Q11</formula>
    </cfRule>
    <cfRule type="cellIs" dxfId="130" priority="5" stopIfTrue="1" operator="lessThan">
      <formula>H11-Q11</formula>
    </cfRule>
  </conditionalFormatting>
  <conditionalFormatting sqref="I20:I28 I11:I17">
    <cfRule type="cellIs" dxfId="129" priority="6" stopIfTrue="1" operator="greaterThan">
      <formula>J11+R11</formula>
    </cfRule>
    <cfRule type="cellIs" dxfId="12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165</v>
      </c>
      <c r="I3" s="221" t="s">
        <v>156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/>
      <c r="H4" s="514"/>
      <c r="I4" s="222" t="s">
        <v>155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232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233</v>
      </c>
      <c r="D10" s="250" t="s">
        <v>222</v>
      </c>
      <c r="E10" s="251" t="s">
        <v>181</v>
      </c>
      <c r="F10" s="252" t="s">
        <v>234</v>
      </c>
      <c r="G10" s="253">
        <v>42826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">
      <c r="A11" s="226"/>
      <c r="B11" s="261" t="s">
        <v>0</v>
      </c>
      <c r="C11" s="262">
        <f>Unincorporated!F19</f>
        <v>0</v>
      </c>
      <c r="D11" s="512">
        <f>Unincorporated!F31</f>
        <v>0</v>
      </c>
      <c r="E11" s="505">
        <f>H11/4</f>
        <v>0.11475409836065573</v>
      </c>
      <c r="F11" s="265">
        <f>Unincorporated!F43</f>
        <v>0</v>
      </c>
      <c r="G11" s="513">
        <f>Unincorporated!F55</f>
        <v>0</v>
      </c>
      <c r="H11" s="522">
        <f>'County West'!H11+'County Islands'!H11+'County Other'!H11</f>
        <v>0.45901639344262291</v>
      </c>
      <c r="I11" s="509">
        <f>Unincorporated!F67</f>
        <v>2</v>
      </c>
      <c r="J11" s="263">
        <f>Unincorporated!F79</f>
        <v>1</v>
      </c>
      <c r="K11" s="263">
        <f>Unincorporated!F91</f>
        <v>1</v>
      </c>
      <c r="L11" s="316">
        <f>+(I11-J11)</f>
        <v>1</v>
      </c>
      <c r="M11" s="268">
        <f t="shared" ref="M11:M18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198</v>
      </c>
      <c r="C12" s="262">
        <f>Unincorporated!M19</f>
        <v>0</v>
      </c>
      <c r="D12" s="512">
        <f>Unincorporated!M31</f>
        <v>0</v>
      </c>
      <c r="E12" s="505">
        <f>H12/4</f>
        <v>0.11475409836065574</v>
      </c>
      <c r="F12" s="265">
        <f>Unincorporated!M43</f>
        <v>0</v>
      </c>
      <c r="G12" s="513">
        <f>Unincorporated!M55</f>
        <v>2</v>
      </c>
      <c r="H12" s="523">
        <f>'County West'!H12+'County Islands'!H12+'County Other'!H12</f>
        <v>0.45901639344262296</v>
      </c>
      <c r="I12" s="510">
        <f>Unincorporated!M67</f>
        <v>2</v>
      </c>
      <c r="J12" s="263">
        <f>Unincorporated!M79</f>
        <v>3</v>
      </c>
      <c r="K12" s="263">
        <f>Unincorporated!M91</f>
        <v>1</v>
      </c>
      <c r="L12" s="316">
        <f>I12-J12</f>
        <v>-1</v>
      </c>
      <c r="M12" s="270">
        <f t="shared" si="0"/>
        <v>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200</v>
      </c>
      <c r="C13" s="568">
        <f>'New Rapes'!L17</f>
        <v>0</v>
      </c>
      <c r="D13" s="569">
        <f>'New Rapes'!L18</f>
        <v>0</v>
      </c>
      <c r="E13" s="505">
        <f>H13/4</f>
        <v>0.26849315068493151</v>
      </c>
      <c r="F13" s="570">
        <f>'New Rapes'!L14</f>
        <v>1</v>
      </c>
      <c r="G13" s="571">
        <f>'New Rapes'!L15</f>
        <v>1</v>
      </c>
      <c r="H13" s="578">
        <v>1.0739726027397261</v>
      </c>
      <c r="I13" s="572">
        <f>'New Rapes'!L20</f>
        <v>5</v>
      </c>
      <c r="J13" s="558">
        <f>'New Rapes'!L21</f>
        <v>3</v>
      </c>
      <c r="K13" s="558">
        <f>'New Rapes'!L22</f>
        <v>2</v>
      </c>
      <c r="L13" s="316">
        <f>I13-J13</f>
        <v>2</v>
      </c>
      <c r="M13" s="270">
        <f t="shared" ref="M13" si="2">I13-K13</f>
        <v>3</v>
      </c>
      <c r="N13" s="231"/>
    </row>
    <row r="14" spans="1:21" x14ac:dyDescent="0.2">
      <c r="A14" s="226"/>
      <c r="B14" s="269" t="s">
        <v>29</v>
      </c>
      <c r="C14" s="262">
        <f>Unincorporated!D19</f>
        <v>1</v>
      </c>
      <c r="D14" s="512">
        <f>Unincorporated!D31</f>
        <v>0</v>
      </c>
      <c r="E14" s="505">
        <f t="shared" ref="E14:E18" si="3">H14/4</f>
        <v>0.22950819672131145</v>
      </c>
      <c r="F14" s="265">
        <f>Unincorporated!D43</f>
        <v>1</v>
      </c>
      <c r="G14" s="513">
        <f>Unincorporated!D55</f>
        <v>0</v>
      </c>
      <c r="H14" s="524">
        <f>'County West'!H13+'County Islands'!H13+'County Other'!H13</f>
        <v>0.91803278688524581</v>
      </c>
      <c r="I14" s="510">
        <f>Unincorporated!D67</f>
        <v>2</v>
      </c>
      <c r="J14" s="263">
        <f>Unincorporated!D79</f>
        <v>6</v>
      </c>
      <c r="K14" s="263">
        <f>Unincorporated!D91</f>
        <v>1</v>
      </c>
      <c r="L14" s="316">
        <f>+(I14-J14)</f>
        <v>-4</v>
      </c>
      <c r="M14" s="270">
        <f t="shared" si="0"/>
        <v>1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Unincorporated!Q19</f>
        <v>0</v>
      </c>
      <c r="D15" s="512">
        <f>Unincorporated!Q31</f>
        <v>1</v>
      </c>
      <c r="E15" s="505">
        <f>H15/4</f>
        <v>0.53551912568306015</v>
      </c>
      <c r="F15" s="265">
        <f>Unincorporated!Q43</f>
        <v>1</v>
      </c>
      <c r="G15" s="513">
        <f>Unincorporated!Q55</f>
        <v>0</v>
      </c>
      <c r="H15" s="525">
        <f>'County West'!H14+'County Islands'!H14+'County Other'!H14</f>
        <v>2.1420765027322406</v>
      </c>
      <c r="I15" s="510">
        <f>Unincorporated!Q67</f>
        <v>3</v>
      </c>
      <c r="J15" s="263">
        <f>Unincorporated!Q79</f>
        <v>9</v>
      </c>
      <c r="K15" s="263">
        <f>Unincorporated!Q91</f>
        <v>0</v>
      </c>
      <c r="L15" s="316">
        <f>+(I15-J15)</f>
        <v>-6</v>
      </c>
      <c r="M15" s="270">
        <f t="shared" si="0"/>
        <v>3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Unincorporated!O19</f>
        <v>0</v>
      </c>
      <c r="D16" s="512">
        <f>Unincorporated!O31</f>
        <v>1</v>
      </c>
      <c r="E16" s="505">
        <f t="shared" si="3"/>
        <v>0.21038251366120217</v>
      </c>
      <c r="F16" s="265">
        <f>Unincorporated!O43</f>
        <v>1</v>
      </c>
      <c r="G16" s="513">
        <f>Unincorporated!O55</f>
        <v>0</v>
      </c>
      <c r="H16" s="524">
        <f>'County West'!H15+'County Islands'!H15+'County Other'!H15</f>
        <v>0.84153005464480868</v>
      </c>
      <c r="I16" s="510">
        <f>Unincorporated!O67</f>
        <v>2</v>
      </c>
      <c r="J16" s="263">
        <f>Unincorporated!O79</f>
        <v>4</v>
      </c>
      <c r="K16" s="263">
        <f>Unincorporated!O91</f>
        <v>1</v>
      </c>
      <c r="L16" s="316">
        <f>+(I16-J16)</f>
        <v>-2</v>
      </c>
      <c r="M16" s="270">
        <f t="shared" si="0"/>
        <v>1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">
      <c r="A17" s="226"/>
      <c r="B17" s="269" t="s">
        <v>40</v>
      </c>
      <c r="C17" s="262">
        <f>Unincorporated!E19</f>
        <v>0</v>
      </c>
      <c r="D17" s="512">
        <f>Unincorporated!E31</f>
        <v>0</v>
      </c>
      <c r="E17" s="505">
        <f t="shared" si="3"/>
        <v>0.80327868852459017</v>
      </c>
      <c r="F17" s="265">
        <f>Unincorporated!E43</f>
        <v>2</v>
      </c>
      <c r="G17" s="513">
        <f>Unincorporated!E55</f>
        <v>2</v>
      </c>
      <c r="H17" s="524">
        <f>'County West'!H16+'County Islands'!H16+'County Other'!H16</f>
        <v>3.2131147540983607</v>
      </c>
      <c r="I17" s="510">
        <f>Unincorporated!E67</f>
        <v>10</v>
      </c>
      <c r="J17" s="263">
        <f>Unincorporated!E79</f>
        <v>5</v>
      </c>
      <c r="K17" s="263">
        <f>Unincorporated!E91</f>
        <v>5</v>
      </c>
      <c r="L17" s="316">
        <f>+(I17-J17)</f>
        <v>5</v>
      </c>
      <c r="M17" s="270">
        <f t="shared" si="0"/>
        <v>5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">
      <c r="A18" s="226"/>
      <c r="B18" s="269" t="s">
        <v>41</v>
      </c>
      <c r="C18" s="262">
        <f>Unincorporated!J2</f>
        <v>0</v>
      </c>
      <c r="D18" s="512">
        <f>Unincorporated!J31</f>
        <v>0</v>
      </c>
      <c r="E18" s="505">
        <f t="shared" si="3"/>
        <v>0.76502732240437166</v>
      </c>
      <c r="F18" s="265">
        <f>Unincorporated!J43</f>
        <v>2</v>
      </c>
      <c r="G18" s="513">
        <f>Unincorporated!J55</f>
        <v>4</v>
      </c>
      <c r="H18" s="526">
        <f>'County West'!H17+'County Islands'!H17+'County Other'!H17</f>
        <v>3.0601092896174866</v>
      </c>
      <c r="I18" s="510">
        <f>Unincorporated!J67</f>
        <v>13</v>
      </c>
      <c r="J18" s="263">
        <f>Unincorporated!J79</f>
        <v>8</v>
      </c>
      <c r="K18" s="263">
        <f>Unincorporated!J91</f>
        <v>7</v>
      </c>
      <c r="L18" s="316">
        <f>I18-J18</f>
        <v>5</v>
      </c>
      <c r="M18" s="270">
        <f t="shared" si="0"/>
        <v>6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5" thickBot="1" x14ac:dyDescent="0.25">
      <c r="A19" s="226"/>
      <c r="B19" s="271" t="s">
        <v>2</v>
      </c>
      <c r="C19" s="272">
        <f t="shared" ref="C19:K19" si="6">SUM(C11:C18)</f>
        <v>1</v>
      </c>
      <c r="D19" s="273">
        <f t="shared" si="6"/>
        <v>2</v>
      </c>
      <c r="E19" s="506">
        <f>SUM(E11:E18)</f>
        <v>3.0417171944007784</v>
      </c>
      <c r="F19" s="272">
        <f t="shared" si="6"/>
        <v>8</v>
      </c>
      <c r="G19" s="273">
        <f t="shared" si="6"/>
        <v>9</v>
      </c>
      <c r="H19" s="506">
        <f>SUM(H11:H18)</f>
        <v>12.166868777603113</v>
      </c>
      <c r="I19" s="273">
        <f t="shared" si="6"/>
        <v>39</v>
      </c>
      <c r="J19" s="273">
        <f t="shared" si="6"/>
        <v>39</v>
      </c>
      <c r="K19" s="273">
        <f t="shared" si="6"/>
        <v>18</v>
      </c>
      <c r="L19" s="318">
        <f>(I19-J19)/J19</f>
        <v>0</v>
      </c>
      <c r="M19" s="319">
        <f>(I19-K19)/K19</f>
        <v>1.1666666666666667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25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">
      <c r="A21" s="226"/>
      <c r="B21" s="261" t="s">
        <v>32</v>
      </c>
      <c r="C21" s="262">
        <f>Unincorporated!C19</f>
        <v>0</v>
      </c>
      <c r="D21" s="512">
        <f>Unincorporated!C31</f>
        <v>0</v>
      </c>
      <c r="E21" s="505">
        <f t="shared" ref="E21:E28" si="7">H21/4</f>
        <v>0.66939890710382521</v>
      </c>
      <c r="F21" s="265">
        <f>Unincorporated!C43</f>
        <v>1</v>
      </c>
      <c r="G21" s="263">
        <f>Unincorporated!C55</f>
        <v>1</v>
      </c>
      <c r="H21" s="524">
        <f>'County West'!H20+'County Islands'!H20+'County Other'!H20</f>
        <v>2.6775956284153009</v>
      </c>
      <c r="I21" s="265">
        <f>Unincorporated!C67</f>
        <v>6</v>
      </c>
      <c r="J21" s="263">
        <f>Unincorporated!C79</f>
        <v>12</v>
      </c>
      <c r="K21" s="263">
        <f>Unincorporated!C91</f>
        <v>5</v>
      </c>
      <c r="L21" s="316">
        <f>I21-J21</f>
        <v>-6</v>
      </c>
      <c r="M21" s="270">
        <f>I21-K21</f>
        <v>1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">
      <c r="A22" s="226"/>
      <c r="B22" s="282" t="s">
        <v>42</v>
      </c>
      <c r="C22" s="262">
        <f>Unincorporated!N19</f>
        <v>12</v>
      </c>
      <c r="D22" s="512">
        <f>Unincorporated!N31</f>
        <v>8</v>
      </c>
      <c r="E22" s="505">
        <f t="shared" si="7"/>
        <v>6.6748633879781423</v>
      </c>
      <c r="F22" s="265">
        <f>Unincorporated!N43</f>
        <v>27</v>
      </c>
      <c r="G22" s="263">
        <f>Unincorporated!N55</f>
        <v>14</v>
      </c>
      <c r="H22" s="524">
        <f>'County West'!H21+'County Islands'!H21+'County Other'!H21</f>
        <v>26.699453551912569</v>
      </c>
      <c r="I22" s="265">
        <f>Unincorporated!N67</f>
        <v>87</v>
      </c>
      <c r="J22" s="263">
        <f>Unincorporated!N79</f>
        <v>86</v>
      </c>
      <c r="K22" s="263">
        <f>Unincorporated!N91</f>
        <v>56</v>
      </c>
      <c r="L22" s="316">
        <f t="shared" ref="L22:L28" si="9">+(I22-J22)</f>
        <v>1</v>
      </c>
      <c r="M22" s="270">
        <f t="shared" ref="M22:M28" si="10">I22-K22</f>
        <v>31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">
      <c r="A23" s="226"/>
      <c r="B23" s="282" t="s">
        <v>62</v>
      </c>
      <c r="C23" s="262">
        <f>Unincorporated!L19</f>
        <v>0</v>
      </c>
      <c r="D23" s="512">
        <f>Unincorporated!L31</f>
        <v>0</v>
      </c>
      <c r="E23" s="505">
        <f>H23/4</f>
        <v>0.26775956284153007</v>
      </c>
      <c r="F23" s="265">
        <f>Unincorporated!L43</f>
        <v>1</v>
      </c>
      <c r="G23" s="263">
        <f>Unincorporated!L55</f>
        <v>0</v>
      </c>
      <c r="H23" s="524">
        <f>'County West'!H22+'County Islands'!H22+'County Other'!H22</f>
        <v>1.0710382513661203</v>
      </c>
      <c r="I23" s="265">
        <f>Unincorporated!L67</f>
        <v>1</v>
      </c>
      <c r="J23" s="263">
        <f>Unincorporated!L79</f>
        <v>4</v>
      </c>
      <c r="K23" s="263">
        <f>Unincorporated!L91</f>
        <v>0</v>
      </c>
      <c r="L23" s="316">
        <f t="shared" si="9"/>
        <v>-3</v>
      </c>
      <c r="M23" s="270">
        <f t="shared" si="10"/>
        <v>1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">
      <c r="A24" s="226"/>
      <c r="B24" s="282" t="s">
        <v>33</v>
      </c>
      <c r="C24" s="262">
        <f>Unincorporated!P19</f>
        <v>1</v>
      </c>
      <c r="D24" s="512">
        <f>Unincorporated!P31</f>
        <v>6</v>
      </c>
      <c r="E24" s="505">
        <f t="shared" si="7"/>
        <v>6.1010928961748636</v>
      </c>
      <c r="F24" s="265">
        <f>Unincorporated!P43</f>
        <v>14</v>
      </c>
      <c r="G24" s="263">
        <f>Unincorporated!P55</f>
        <v>8</v>
      </c>
      <c r="H24" s="524">
        <f>'County West'!H23+'County Islands'!H23+'County Other'!H23</f>
        <v>24.404371584699454</v>
      </c>
      <c r="I24" s="265">
        <f>Unincorporated!P67</f>
        <v>55</v>
      </c>
      <c r="J24" s="263">
        <f>Unincorporated!P79</f>
        <v>70</v>
      </c>
      <c r="K24" s="263">
        <f>Unincorporated!P91</f>
        <v>70</v>
      </c>
      <c r="L24" s="316">
        <f t="shared" si="9"/>
        <v>-15</v>
      </c>
      <c r="M24" s="270">
        <f t="shared" si="10"/>
        <v>-15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">
      <c r="A25" s="226"/>
      <c r="B25" s="269" t="s">
        <v>7</v>
      </c>
      <c r="C25" s="262">
        <f>Unincorporated!G19</f>
        <v>3</v>
      </c>
      <c r="D25" s="512">
        <f>Unincorporated!G31</f>
        <v>1</v>
      </c>
      <c r="E25" s="505">
        <f>H25/4</f>
        <v>7.0765027322404368</v>
      </c>
      <c r="F25" s="265">
        <f>Unincorporated!G43</f>
        <v>11</v>
      </c>
      <c r="G25" s="263">
        <f>Unincorporated!G55</f>
        <v>15</v>
      </c>
      <c r="H25" s="524">
        <f>'County West'!H24+'County Islands'!H24+'County Other'!H24</f>
        <v>28.306010928961747</v>
      </c>
      <c r="I25" s="265">
        <f>Unincorporated!G67</f>
        <v>68</v>
      </c>
      <c r="J25" s="263">
        <f>Unincorporated!G79</f>
        <v>92</v>
      </c>
      <c r="K25" s="263">
        <f>Unincorporated!G91</f>
        <v>66</v>
      </c>
      <c r="L25" s="316">
        <f t="shared" si="9"/>
        <v>-24</v>
      </c>
      <c r="M25" s="270">
        <f t="shared" si="10"/>
        <v>2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">
      <c r="A26" s="226"/>
      <c r="B26" s="269" t="s">
        <v>68</v>
      </c>
      <c r="C26" s="262">
        <f>Unincorporated!I19</f>
        <v>1</v>
      </c>
      <c r="D26" s="512">
        <f>Unincorporated!I31</f>
        <v>2</v>
      </c>
      <c r="E26" s="505">
        <f t="shared" si="7"/>
        <v>2.7732240437158469</v>
      </c>
      <c r="F26" s="265">
        <f>Unincorporated!I43</f>
        <v>9</v>
      </c>
      <c r="G26" s="263">
        <f>Unincorporated!I55</f>
        <v>7</v>
      </c>
      <c r="H26" s="524">
        <f>'County West'!H25+'County Islands'!H25+'County Other'!H25</f>
        <v>11.092896174863387</v>
      </c>
      <c r="I26" s="265">
        <f>Unincorporated!I67</f>
        <v>24</v>
      </c>
      <c r="J26" s="263">
        <f>Unincorporated!I79</f>
        <v>30</v>
      </c>
      <c r="K26" s="263">
        <f>Unincorporated!I91</f>
        <v>28</v>
      </c>
      <c r="L26" s="316">
        <f t="shared" si="9"/>
        <v>-6</v>
      </c>
      <c r="M26" s="270">
        <f t="shared" si="10"/>
        <v>-4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">
      <c r="A27" s="226"/>
      <c r="B27" s="269" t="s">
        <v>67</v>
      </c>
      <c r="C27" s="262">
        <f>Unincorporated!H19</f>
        <v>1</v>
      </c>
      <c r="D27" s="512">
        <f>Unincorporated!H31</f>
        <v>3</v>
      </c>
      <c r="E27" s="505">
        <f t="shared" si="7"/>
        <v>3.7868852459016389</v>
      </c>
      <c r="F27" s="265">
        <f>Unincorporated!H43</f>
        <v>10</v>
      </c>
      <c r="G27" s="263">
        <f>Unincorporated!H55</f>
        <v>15</v>
      </c>
      <c r="H27" s="524">
        <f>'County West'!H26+'County Islands'!H26+'County Other'!H26</f>
        <v>15.147540983606556</v>
      </c>
      <c r="I27" s="265">
        <f>Unincorporated!H67</f>
        <v>57</v>
      </c>
      <c r="J27" s="263">
        <f>Unincorporated!H79</f>
        <v>48</v>
      </c>
      <c r="K27" s="263">
        <f>Unincorporated!H91</f>
        <v>36</v>
      </c>
      <c r="L27" s="316">
        <f>+(I27-J27)</f>
        <v>9</v>
      </c>
      <c r="M27" s="270">
        <f>I27-K27</f>
        <v>21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">
      <c r="A28" s="226"/>
      <c r="B28" s="269" t="s">
        <v>34</v>
      </c>
      <c r="C28" s="262">
        <f>Unincorporated!K19</f>
        <v>0</v>
      </c>
      <c r="D28" s="512">
        <f>Unincorporated!K31</f>
        <v>2</v>
      </c>
      <c r="E28" s="505">
        <f t="shared" si="7"/>
        <v>0.93715846994535512</v>
      </c>
      <c r="F28" s="265">
        <f>Unincorporated!K43</f>
        <v>3</v>
      </c>
      <c r="G28" s="263">
        <f>Unincorporated!K55</f>
        <v>3</v>
      </c>
      <c r="H28" s="524">
        <f>'County West'!H27+'County Islands'!H27+'County Other'!H27</f>
        <v>3.7486338797814205</v>
      </c>
      <c r="I28" s="265">
        <f>Unincorporated!K67</f>
        <v>16</v>
      </c>
      <c r="J28" s="263">
        <f>Unincorporated!K79</f>
        <v>13</v>
      </c>
      <c r="K28" s="263">
        <f>Unincorporated!K91</f>
        <v>10</v>
      </c>
      <c r="L28" s="316">
        <f t="shared" si="9"/>
        <v>3</v>
      </c>
      <c r="M28" s="270">
        <f t="shared" si="10"/>
        <v>6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">
      <c r="A29" s="226"/>
      <c r="B29" s="269" t="s">
        <v>8</v>
      </c>
      <c r="C29" s="262">
        <f>Unincorporated!B19</f>
        <v>1</v>
      </c>
      <c r="D29" s="512">
        <f>Unincorporated!B31</f>
        <v>1</v>
      </c>
      <c r="E29" s="505">
        <f>H29/4</f>
        <v>3.040983606557377</v>
      </c>
      <c r="F29" s="265">
        <f>Unincorporated!B43</f>
        <v>7</v>
      </c>
      <c r="G29" s="263">
        <f>Unincorporated!B55</f>
        <v>9</v>
      </c>
      <c r="H29" s="524">
        <f>'County West'!H28+'County Islands'!H28+'County Other'!H28</f>
        <v>12.163934426229508</v>
      </c>
      <c r="I29" s="265">
        <f>Unincorporated!B67</f>
        <v>40</v>
      </c>
      <c r="J29" s="263">
        <f>Unincorporated!B79</f>
        <v>41</v>
      </c>
      <c r="K29" s="263">
        <f>Unincorporated!B91</f>
        <v>27</v>
      </c>
      <c r="L29" s="316">
        <f>I29-J29</f>
        <v>-1</v>
      </c>
      <c r="M29" s="270">
        <f>I29-K29</f>
        <v>13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">
      <c r="A30" s="226"/>
      <c r="B30" s="283" t="s">
        <v>5</v>
      </c>
      <c r="C30" s="284">
        <f t="shared" ref="C30:K30" si="11">SUM(C21:C29)</f>
        <v>19</v>
      </c>
      <c r="D30" s="285">
        <f t="shared" si="11"/>
        <v>23</v>
      </c>
      <c r="E30" s="507">
        <f t="shared" si="11"/>
        <v>31.327868852459016</v>
      </c>
      <c r="F30" s="284">
        <f t="shared" si="11"/>
        <v>83</v>
      </c>
      <c r="G30" s="285">
        <f t="shared" si="11"/>
        <v>72</v>
      </c>
      <c r="H30" s="507">
        <f t="shared" si="11"/>
        <v>125.31147540983606</v>
      </c>
      <c r="I30" s="287">
        <f t="shared" si="11"/>
        <v>354</v>
      </c>
      <c r="J30" s="285">
        <f t="shared" si="11"/>
        <v>396</v>
      </c>
      <c r="K30" s="321">
        <f t="shared" si="11"/>
        <v>298</v>
      </c>
      <c r="L30" s="318">
        <f>(I30-J30)/J30</f>
        <v>-0.10606060606060606</v>
      </c>
      <c r="M30" s="319">
        <f>(I30-K30)/K30</f>
        <v>0.18791946308724833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5" thickBot="1" x14ac:dyDescent="0.25">
      <c r="A31" s="226"/>
      <c r="B31" s="271" t="s">
        <v>6</v>
      </c>
      <c r="C31" s="272">
        <f>C30+C19</f>
        <v>20</v>
      </c>
      <c r="D31" s="273">
        <f>D30+D19</f>
        <v>25</v>
      </c>
      <c r="E31" s="508">
        <f>E19+E30</f>
        <v>34.369586046859794</v>
      </c>
      <c r="F31" s="272">
        <f>F30+F19</f>
        <v>91</v>
      </c>
      <c r="G31" s="273">
        <f>G30+G19</f>
        <v>81</v>
      </c>
      <c r="H31" s="508">
        <f>H19+H30</f>
        <v>137.47834418743918</v>
      </c>
      <c r="I31" s="275">
        <f>I30+I19</f>
        <v>393</v>
      </c>
      <c r="J31" s="273">
        <f>J30+J19</f>
        <v>435</v>
      </c>
      <c r="K31" s="310">
        <f>K30+K19</f>
        <v>316</v>
      </c>
      <c r="L31" s="318">
        <f>(I31-J31)/J31</f>
        <v>-9.6551724137931033E-2</v>
      </c>
      <c r="M31" s="319">
        <f>(I31-K31)/K31</f>
        <v>0.24367088607594936</v>
      </c>
      <c r="N31" s="231"/>
    </row>
    <row r="32" spans="1:27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-42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199</v>
      </c>
      <c r="C36" s="291"/>
      <c r="D36" s="291"/>
      <c r="L36" s="297"/>
      <c r="M36" s="296"/>
    </row>
    <row r="37" spans="1:14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233</v>
      </c>
      <c r="D40" s="250" t="s">
        <v>222</v>
      </c>
      <c r="E40" s="251" t="s">
        <v>181</v>
      </c>
      <c r="F40" s="250" t="s">
        <v>233</v>
      </c>
      <c r="G40" s="253">
        <v>42826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">
      <c r="A41" s="19"/>
      <c r="B41" s="343" t="s">
        <v>75</v>
      </c>
      <c r="C41" s="299">
        <f>Unincorporated!B5</f>
        <v>0</v>
      </c>
      <c r="D41" s="299">
        <f>Unincorporated!C5</f>
        <v>0</v>
      </c>
      <c r="E41" s="547">
        <f>H41/4</f>
        <v>0</v>
      </c>
      <c r="F41" s="354">
        <f>SUM(Unincorporated!B5:E5)</f>
        <v>0</v>
      </c>
      <c r="G41" s="298">
        <f>Unincorporated!G5</f>
        <v>0</v>
      </c>
      <c r="H41" s="547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5" thickBot="1" x14ac:dyDescent="0.25">
      <c r="A42" s="19"/>
      <c r="B42" s="344" t="s">
        <v>76</v>
      </c>
      <c r="C42" s="299">
        <f>Unincorporated!B6</f>
        <v>0</v>
      </c>
      <c r="D42" s="299">
        <f>Unincorporated!C6</f>
        <v>0</v>
      </c>
      <c r="E42" s="547">
        <f>H42/4</f>
        <v>11.265000000000001</v>
      </c>
      <c r="F42" s="481">
        <f>SUM(Unincorporated!B6:E6)</f>
        <v>0</v>
      </c>
      <c r="G42" s="298">
        <f>Unincorporated!G6</f>
        <v>0</v>
      </c>
      <c r="H42" s="547">
        <v>45.06</v>
      </c>
      <c r="I42" s="481">
        <f>Unincorporated!I6</f>
        <v>0</v>
      </c>
      <c r="J42" s="341">
        <f>Unincorporated!K6</f>
        <v>0</v>
      </c>
      <c r="K42" s="473">
        <f>Unincorporated!M6</f>
        <v>0</v>
      </c>
      <c r="L42" s="480">
        <f>I42-J42</f>
        <v>0</v>
      </c>
      <c r="M42" s="300">
        <f>I42-K42</f>
        <v>0</v>
      </c>
      <c r="N42" s="27"/>
    </row>
    <row r="43" spans="1:14" ht="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27" priority="2" stopIfTrue="1" operator="greaterThan">
      <formula>0</formula>
    </cfRule>
  </conditionalFormatting>
  <conditionalFormatting sqref="C11:C18 C21:C29">
    <cfRule type="cellIs" dxfId="126" priority="3" stopIfTrue="1" operator="greaterThan">
      <formula>E11+P11</formula>
    </cfRule>
    <cfRule type="cellIs" dxfId="125" priority="4" stopIfTrue="1" operator="lessThan">
      <formula>E11-P11</formula>
    </cfRule>
  </conditionalFormatting>
  <conditionalFormatting sqref="F11:F18 F21:F29">
    <cfRule type="cellIs" dxfId="124" priority="5" stopIfTrue="1" operator="greaterThan">
      <formula>H11+Q11</formula>
    </cfRule>
    <cfRule type="cellIs" dxfId="123" priority="6" stopIfTrue="1" operator="lessThan">
      <formula>H11-Q11</formula>
    </cfRule>
  </conditionalFormatting>
  <conditionalFormatting sqref="I21:I29 I11:I12 I14:I18">
    <cfRule type="cellIs" dxfId="122" priority="7" stopIfTrue="1" operator="greaterThan">
      <formula>J11+R11</formula>
    </cfRule>
    <cfRule type="cellIs" dxfId="121" priority="8" stopIfTrue="1" operator="lessThan">
      <formula>J11-R11</formula>
    </cfRule>
  </conditionalFormatting>
  <conditionalFormatting sqref="M43">
    <cfRule type="cellIs" dxfId="120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A10" zoomScaleNormal="100" workbookViewId="0">
      <selection activeCell="E47" sqref="E47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173</v>
      </c>
      <c r="H3" s="221" t="s">
        <v>156</v>
      </c>
      <c r="I3" s="221"/>
      <c r="N3" s="216"/>
    </row>
    <row r="4" spans="1:27" ht="19.5" customHeight="1" x14ac:dyDescent="0.3">
      <c r="A4" s="216"/>
      <c r="C4" s="220"/>
      <c r="H4" s="222" t="s">
        <v>155</v>
      </c>
      <c r="I4" s="223"/>
      <c r="N4" s="216"/>
    </row>
    <row r="5" spans="1:27" ht="18.75" customHeight="1" x14ac:dyDescent="0.3">
      <c r="A5" s="216"/>
      <c r="C5" s="220" t="s">
        <v>232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233</v>
      </c>
      <c r="D10" s="250" t="s">
        <v>222</v>
      </c>
      <c r="E10" s="251" t="s">
        <v>181</v>
      </c>
      <c r="F10" s="252" t="s">
        <v>234</v>
      </c>
      <c r="G10" s="253">
        <v>42826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">
      <c r="A11" s="226"/>
      <c r="B11" s="261" t="s">
        <v>0</v>
      </c>
      <c r="C11" s="262">
        <f>'Total Jurisdiction'!C11-'County Total'!C11</f>
        <v>3</v>
      </c>
      <c r="D11" s="263">
        <f>'Total Jurisdiction'!D11-'County Total'!D11</f>
        <v>0</v>
      </c>
      <c r="E11" s="533">
        <f>'Total Jurisdiction'!E11-'County Total'!E11</f>
        <v>0.84153005464480879</v>
      </c>
      <c r="F11" s="265">
        <f>'Total Jurisdiction'!F11-'County Total'!F11</f>
        <v>3</v>
      </c>
      <c r="G11" s="263">
        <f>'Total Jurisdiction'!G11-'County Total'!G11</f>
        <v>3</v>
      </c>
      <c r="H11" s="533">
        <f>'Total Jurisdiction'!H11-'County Total'!H11</f>
        <v>3.3661202185792352</v>
      </c>
      <c r="I11" s="265">
        <f>'Total Jurisdiction'!I11-'County Total'!I11</f>
        <v>12</v>
      </c>
      <c r="J11" s="263">
        <f>'Total Jurisdiction'!J11-'County Total'!J11</f>
        <v>19</v>
      </c>
      <c r="K11" s="266">
        <f>'Total Jurisdiction'!K11-'County Total'!K11</f>
        <v>10</v>
      </c>
      <c r="L11" s="267">
        <f t="shared" ref="L11:L18" si="0">I11-J11</f>
        <v>-7</v>
      </c>
      <c r="M11" s="268">
        <f t="shared" ref="M11:M18" si="1">I11-K11</f>
        <v>2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198</v>
      </c>
      <c r="C12" s="262">
        <f>'Total Jurisdiction'!C12-'County Total'!C12</f>
        <v>2</v>
      </c>
      <c r="D12" s="263">
        <f>'Total Jurisdiction'!D12-'County Total'!D12</f>
        <v>1</v>
      </c>
      <c r="E12" s="535">
        <f>'Total Jurisdiction'!E12-'County Total'!E12</f>
        <v>0.86065573770491799</v>
      </c>
      <c r="F12" s="265">
        <f>'Total Jurisdiction'!F12-'County Total'!F12</f>
        <v>6</v>
      </c>
      <c r="G12" s="263">
        <f>'Total Jurisdiction'!G12-'County Total'!G12</f>
        <v>2</v>
      </c>
      <c r="H12" s="534">
        <f>'Total Jurisdiction'!H12-'County Total'!H12</f>
        <v>3.442622950819672</v>
      </c>
      <c r="I12" s="265">
        <f>'Total Jurisdiction'!I12-'County Total'!I12</f>
        <v>13</v>
      </c>
      <c r="J12" s="263">
        <f>'Total Jurisdiction'!J12-'County Total'!J12</f>
        <v>18</v>
      </c>
      <c r="K12" s="266">
        <f>'Total Jurisdiction'!K12-'County Total'!K12</f>
        <v>16</v>
      </c>
      <c r="L12" s="267">
        <f t="shared" si="0"/>
        <v>-5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200</v>
      </c>
      <c r="C13" s="262">
        <f>'Total Jurisdiction'!C13-'County Total'!C13</f>
        <v>0</v>
      </c>
      <c r="D13" s="263">
        <f>'Total Jurisdiction'!D13-'County Total'!D13</f>
        <v>1</v>
      </c>
      <c r="E13" s="535">
        <f>'Total Jurisdiction'!E13-'County Total'!E13</f>
        <v>1.1308780597350099</v>
      </c>
      <c r="F13" s="265">
        <f>'Total Jurisdiction'!F13-'County Total'!F13</f>
        <v>1</v>
      </c>
      <c r="G13" s="263">
        <f>'Total Jurisdiction'!G13-'County Total'!G13</f>
        <v>6</v>
      </c>
      <c r="H13" s="577">
        <v>4.5260273972602736</v>
      </c>
      <c r="I13" s="265">
        <f>'Total Jurisdiction'!I13-'County Total'!I13</f>
        <v>15</v>
      </c>
      <c r="J13" s="263">
        <f>'Total Jurisdiction'!J13-'County Total'!J13</f>
        <v>15</v>
      </c>
      <c r="K13" s="266">
        <f>'Total Jurisdiction'!K13-'County Total'!K13</f>
        <v>6</v>
      </c>
      <c r="L13" s="267">
        <f t="shared" ref="L13" si="6">I13-J13</f>
        <v>0</v>
      </c>
      <c r="M13" s="270">
        <f t="shared" ref="M13" si="7">I13-K13</f>
        <v>9</v>
      </c>
      <c r="N13" s="231"/>
    </row>
    <row r="14" spans="1:27" x14ac:dyDescent="0.2">
      <c r="A14" s="226"/>
      <c r="B14" s="269" t="s">
        <v>29</v>
      </c>
      <c r="C14" s="262">
        <f>'Total Jurisdiction'!C14-'County Total'!C14</f>
        <v>3</v>
      </c>
      <c r="D14" s="263">
        <f>'Total Jurisdiction'!D14-'County Total'!D14</f>
        <v>0</v>
      </c>
      <c r="E14" s="534">
        <f>'Total Jurisdiction'!E14-'County Total'!E14</f>
        <v>1.472677595628415</v>
      </c>
      <c r="F14" s="265">
        <f>'Total Jurisdiction'!F14-'County Total'!F14</f>
        <v>8</v>
      </c>
      <c r="G14" s="263">
        <f>'Total Jurisdiction'!G14-'County Total'!G14</f>
        <v>4</v>
      </c>
      <c r="H14" s="534">
        <f>'Total Jurisdiction'!H14-'County Total'!H14</f>
        <v>5.8907103825136602</v>
      </c>
      <c r="I14" s="265">
        <f>'Total Jurisdiction'!I14-'County Total'!I14</f>
        <v>35</v>
      </c>
      <c r="J14" s="263">
        <f>'Total Jurisdiction'!J14-'County Total'!J14</f>
        <v>23</v>
      </c>
      <c r="K14" s="266">
        <f>'Total Jurisdiction'!K14-'County Total'!K14</f>
        <v>18</v>
      </c>
      <c r="L14" s="267">
        <f t="shared" si="0"/>
        <v>12</v>
      </c>
      <c r="M14" s="270">
        <f t="shared" si="1"/>
        <v>17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262">
        <f>'Total Jurisdiction'!C15-'County Total'!C15</f>
        <v>4</v>
      </c>
      <c r="D15" s="263">
        <f>'Total Jurisdiction'!D15-'County Total'!D15</f>
        <v>6</v>
      </c>
      <c r="E15" s="534">
        <f>'Total Jurisdiction'!E15-'County Total'!E15</f>
        <v>7.0382513661202193</v>
      </c>
      <c r="F15" s="265">
        <f>'Total Jurisdiction'!F15-'County Total'!F15</f>
        <v>17</v>
      </c>
      <c r="G15" s="263">
        <f>'Total Jurisdiction'!G15-'County Total'!G15</f>
        <v>15</v>
      </c>
      <c r="H15" s="534">
        <f>'Total Jurisdiction'!H15-'County Total'!H15</f>
        <v>28.153005464480877</v>
      </c>
      <c r="I15" s="265">
        <f>'Total Jurisdiction'!I15-'County Total'!I15</f>
        <v>70</v>
      </c>
      <c r="J15" s="263">
        <f>'Total Jurisdiction'!J15-'County Total'!J15</f>
        <v>115</v>
      </c>
      <c r="K15" s="266">
        <f>'Total Jurisdiction'!K15-'County Total'!K15</f>
        <v>90</v>
      </c>
      <c r="L15" s="267">
        <f t="shared" si="0"/>
        <v>-45</v>
      </c>
      <c r="M15" s="270">
        <f t="shared" si="1"/>
        <v>-20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262">
        <f>'Total Jurisdiction'!C16-'County Total'!C16</f>
        <v>2</v>
      </c>
      <c r="D16" s="263">
        <f>'Total Jurisdiction'!D16-'County Total'!D16</f>
        <v>2</v>
      </c>
      <c r="E16" s="534">
        <f>'Total Jurisdiction'!E16-'County Total'!E16</f>
        <v>0.72677595628415304</v>
      </c>
      <c r="F16" s="265">
        <f>'Total Jurisdiction'!F16-'County Total'!F16</f>
        <v>4</v>
      </c>
      <c r="G16" s="263">
        <f>'Total Jurisdiction'!G16-'County Total'!G16</f>
        <v>2</v>
      </c>
      <c r="H16" s="534">
        <f>'Total Jurisdiction'!H16-'County Total'!H16</f>
        <v>2.9071038251366121</v>
      </c>
      <c r="I16" s="265">
        <f>'Total Jurisdiction'!I16-'County Total'!I16</f>
        <v>9</v>
      </c>
      <c r="J16" s="263">
        <f>'Total Jurisdiction'!J16-'County Total'!J16</f>
        <v>9</v>
      </c>
      <c r="K16" s="266">
        <f>'Total Jurisdiction'!K16-'County Total'!K16</f>
        <v>16</v>
      </c>
      <c r="L16" s="267">
        <f t="shared" si="0"/>
        <v>0</v>
      </c>
      <c r="M16" s="270">
        <f t="shared" si="1"/>
        <v>-7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262">
        <f>'Total Jurisdiction'!C17-'County Total'!C17</f>
        <v>9</v>
      </c>
      <c r="D17" s="263">
        <f>'Total Jurisdiction'!D17-'County Total'!D17</f>
        <v>9</v>
      </c>
      <c r="E17" s="534">
        <f>'Total Jurisdiction'!E17-'County Total'!E17</f>
        <v>4.5136612021857925</v>
      </c>
      <c r="F17" s="265">
        <f>'Total Jurisdiction'!F17-'County Total'!F17</f>
        <v>30</v>
      </c>
      <c r="G17" s="263">
        <f>'Total Jurisdiction'!G17-'County Total'!G17</f>
        <v>14</v>
      </c>
      <c r="H17" s="534">
        <f>'Total Jurisdiction'!H17-'County Total'!H17</f>
        <v>18.05464480874317</v>
      </c>
      <c r="I17" s="265">
        <f>'Total Jurisdiction'!I17-'County Total'!I17</f>
        <v>91</v>
      </c>
      <c r="J17" s="263">
        <f>'Total Jurisdiction'!J17-'County Total'!J17</f>
        <v>93</v>
      </c>
      <c r="K17" s="266">
        <f>'Total Jurisdiction'!K17-'County Total'!K17</f>
        <v>75</v>
      </c>
      <c r="L17" s="267">
        <f t="shared" si="0"/>
        <v>-2</v>
      </c>
      <c r="M17" s="270">
        <f t="shared" si="1"/>
        <v>16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262">
        <f>'Total Jurisdiction'!C18-'County Total'!C18</f>
        <v>8</v>
      </c>
      <c r="D18" s="263">
        <f>'Total Jurisdiction'!D18-'County Total'!D18</f>
        <v>7</v>
      </c>
      <c r="E18" s="534">
        <f>'Total Jurisdiction'!E18-'County Total'!E18</f>
        <v>4.2841530054644812</v>
      </c>
      <c r="F18" s="265">
        <f>'Total Jurisdiction'!F18-'County Total'!F18</f>
        <v>26</v>
      </c>
      <c r="G18" s="263">
        <f>'Total Jurisdiction'!G18-'County Total'!G18</f>
        <v>16</v>
      </c>
      <c r="H18" s="534">
        <f>'Total Jurisdiction'!H18-'County Total'!H18</f>
        <v>17.136612021857925</v>
      </c>
      <c r="I18" s="265">
        <f>'Total Jurisdiction'!I18-'County Total'!I18</f>
        <v>70</v>
      </c>
      <c r="J18" s="263">
        <f>'Total Jurisdiction'!J18-'County Total'!J18</f>
        <v>68</v>
      </c>
      <c r="K18" s="266">
        <f>'Total Jurisdiction'!K18-'County Total'!K18</f>
        <v>37</v>
      </c>
      <c r="L18" s="267">
        <f t="shared" si="0"/>
        <v>2</v>
      </c>
      <c r="M18" s="270">
        <f t="shared" si="1"/>
        <v>33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31</v>
      </c>
      <c r="D19" s="273">
        <f t="shared" ref="D19:K19" si="10">SUM(D11:D18)</f>
        <v>26</v>
      </c>
      <c r="E19" s="274">
        <f t="shared" si="10"/>
        <v>20.868582977767797</v>
      </c>
      <c r="F19" s="275">
        <f t="shared" si="10"/>
        <v>95</v>
      </c>
      <c r="G19" s="273">
        <f t="shared" si="10"/>
        <v>62</v>
      </c>
      <c r="H19" s="274">
        <f t="shared" si="10"/>
        <v>83.476847069391425</v>
      </c>
      <c r="I19" s="275">
        <f t="shared" si="10"/>
        <v>315</v>
      </c>
      <c r="J19" s="273">
        <f t="shared" si="10"/>
        <v>360</v>
      </c>
      <c r="K19" s="274">
        <f t="shared" si="10"/>
        <v>268</v>
      </c>
      <c r="L19" s="276">
        <f>(I19-J19)/J19</f>
        <v>-0.125</v>
      </c>
      <c r="M19" s="277">
        <f>(I19-K19)/K19</f>
        <v>0.17537313432835822</v>
      </c>
      <c r="N19" s="231"/>
    </row>
    <row r="20" spans="1:26" ht="7.5" customHeight="1" thickBot="1" x14ac:dyDescent="0.25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262">
        <f>'Total Jurisdiction'!C21-'County Total'!C21</f>
        <v>0</v>
      </c>
      <c r="D21" s="263">
        <f>'Total Jurisdiction'!D21-'County Total'!D21</f>
        <v>7</v>
      </c>
      <c r="E21" s="533">
        <f>'Total Jurisdiction'!E21-'County Total'!E21</f>
        <v>6.081967213114754</v>
      </c>
      <c r="F21" s="265">
        <f>'Total Jurisdiction'!F21-'County Total'!F21</f>
        <v>17</v>
      </c>
      <c r="G21" s="263">
        <f>'Total Jurisdiction'!G21-'County Total'!G21</f>
        <v>10</v>
      </c>
      <c r="H21" s="533">
        <f>'Total Jurisdiction'!H21-'County Total'!H21</f>
        <v>24.327868852459016</v>
      </c>
      <c r="I21" s="265">
        <f>'Total Jurisdiction'!I21-'County Total'!I21</f>
        <v>53</v>
      </c>
      <c r="J21" s="263">
        <f>'Total Jurisdiction'!J21-'County Total'!J21</f>
        <v>89</v>
      </c>
      <c r="K21" s="266">
        <f>'Total Jurisdiction'!K21-'County Total'!K21</f>
        <v>74</v>
      </c>
      <c r="L21" s="267">
        <f>I21-J21</f>
        <v>-36</v>
      </c>
      <c r="M21" s="270">
        <f>I21-K21</f>
        <v>-21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262">
        <f>'Total Jurisdiction'!C22-'County Total'!C22</f>
        <v>15</v>
      </c>
      <c r="D22" s="263">
        <f>'Total Jurisdiction'!D22-'County Total'!D22</f>
        <v>14</v>
      </c>
      <c r="E22" s="535">
        <f>'Total Jurisdiction'!E22-'County Total'!E22</f>
        <v>22.051912568306012</v>
      </c>
      <c r="F22" s="265">
        <f>'Total Jurisdiction'!F22-'County Total'!F22</f>
        <v>60</v>
      </c>
      <c r="G22" s="263">
        <f>'Total Jurisdiction'!G22-'County Total'!G22</f>
        <v>58</v>
      </c>
      <c r="H22" s="534">
        <f>'Total Jurisdiction'!H22-'County Total'!H22</f>
        <v>88.207650273224047</v>
      </c>
      <c r="I22" s="265">
        <f>'Total Jurisdiction'!I22-'County Total'!I22</f>
        <v>271</v>
      </c>
      <c r="J22" s="263">
        <f>'Total Jurisdiction'!J22-'County Total'!J22</f>
        <v>340</v>
      </c>
      <c r="K22" s="266">
        <f>'Total Jurisdiction'!K22-'County Total'!K22</f>
        <v>339</v>
      </c>
      <c r="L22" s="267">
        <f t="shared" ref="L22:L29" si="11">I22-J22</f>
        <v>-69</v>
      </c>
      <c r="M22" s="270">
        <f t="shared" ref="M22:M28" si="12">I22-K22</f>
        <v>-68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262">
        <f>'Total Jurisdiction'!C23-'County Total'!C23</f>
        <v>4</v>
      </c>
      <c r="D23" s="263">
        <f>'Total Jurisdiction'!D23-'County Total'!D23</f>
        <v>2</v>
      </c>
      <c r="E23" s="534">
        <f>'Total Jurisdiction'!E23-'County Total'!E23</f>
        <v>1.87431693989071</v>
      </c>
      <c r="F23" s="265">
        <f>'Total Jurisdiction'!F23-'County Total'!F23</f>
        <v>9</v>
      </c>
      <c r="G23" s="263">
        <f>'Total Jurisdiction'!G23-'County Total'!G23</f>
        <v>11</v>
      </c>
      <c r="H23" s="534">
        <f>'Total Jurisdiction'!H23-'County Total'!H23</f>
        <v>7.4972677595628401</v>
      </c>
      <c r="I23" s="265">
        <f>'Total Jurisdiction'!I23-'County Total'!I23</f>
        <v>37</v>
      </c>
      <c r="J23" s="263">
        <f>'Total Jurisdiction'!J23-'County Total'!J23</f>
        <v>30</v>
      </c>
      <c r="K23" s="266">
        <f>'Total Jurisdiction'!K23-'County Total'!K23</f>
        <v>31</v>
      </c>
      <c r="L23" s="267">
        <f t="shared" si="11"/>
        <v>7</v>
      </c>
      <c r="M23" s="270">
        <f t="shared" si="12"/>
        <v>6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262">
        <f>'Total Jurisdiction'!C24-'County Total'!C24</f>
        <v>33</v>
      </c>
      <c r="D24" s="263">
        <f>'Total Jurisdiction'!D24-'County Total'!D24</f>
        <v>24</v>
      </c>
      <c r="E24" s="534">
        <f>'Total Jurisdiction'!E24-'County Total'!E24</f>
        <v>25.360655737704917</v>
      </c>
      <c r="F24" s="265">
        <f>'Total Jurisdiction'!F24-'County Total'!F24</f>
        <v>113</v>
      </c>
      <c r="G24" s="263">
        <f>'Total Jurisdiction'!G24-'County Total'!G24</f>
        <v>115</v>
      </c>
      <c r="H24" s="534">
        <f>'Total Jurisdiction'!H24-'County Total'!H24</f>
        <v>101.44262295081967</v>
      </c>
      <c r="I24" s="265">
        <f>'Total Jurisdiction'!I24-'County Total'!I24</f>
        <v>516</v>
      </c>
      <c r="J24" s="263">
        <f>'Total Jurisdiction'!J24-'County Total'!J24</f>
        <v>482</v>
      </c>
      <c r="K24" s="266">
        <f>'Total Jurisdiction'!K24-'County Total'!K24</f>
        <v>483</v>
      </c>
      <c r="L24" s="267">
        <f t="shared" si="11"/>
        <v>34</v>
      </c>
      <c r="M24" s="270">
        <f t="shared" si="12"/>
        <v>33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262">
        <f>'Total Jurisdiction'!C25-'County Total'!C25</f>
        <v>44</v>
      </c>
      <c r="D25" s="263">
        <f>'Total Jurisdiction'!D25-'County Total'!D25</f>
        <v>30</v>
      </c>
      <c r="E25" s="534">
        <f>'Total Jurisdiction'!E25-'County Total'!E25</f>
        <v>31.978142076502728</v>
      </c>
      <c r="F25" s="265">
        <f>'Total Jurisdiction'!F25-'County Total'!F25</f>
        <v>142</v>
      </c>
      <c r="G25" s="263">
        <f>'Total Jurisdiction'!G25-'County Total'!G25</f>
        <v>100</v>
      </c>
      <c r="H25" s="534">
        <f>'Total Jurisdiction'!H25-'County Total'!H25</f>
        <v>127.91256830601091</v>
      </c>
      <c r="I25" s="265">
        <f>'Total Jurisdiction'!I25-'County Total'!I25</f>
        <v>588</v>
      </c>
      <c r="J25" s="263">
        <f>'Total Jurisdiction'!J25-'County Total'!J25</f>
        <v>578</v>
      </c>
      <c r="K25" s="266">
        <f>'Total Jurisdiction'!K25-'County Total'!K25</f>
        <v>475</v>
      </c>
      <c r="L25" s="267">
        <f t="shared" si="11"/>
        <v>10</v>
      </c>
      <c r="M25" s="270">
        <f t="shared" si="12"/>
        <v>113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262">
        <f>'Total Jurisdiction'!C26-'County Total'!C26</f>
        <v>19</v>
      </c>
      <c r="D26" s="263">
        <f>'Total Jurisdiction'!D26-'County Total'!D26</f>
        <v>17</v>
      </c>
      <c r="E26" s="534">
        <f>'Total Jurisdiction'!E26-'County Total'!E26</f>
        <v>13.579234972677597</v>
      </c>
      <c r="F26" s="265">
        <f>'Total Jurisdiction'!F26-'County Total'!F26</f>
        <v>64</v>
      </c>
      <c r="G26" s="263">
        <f>'Total Jurisdiction'!G26-'County Total'!G26</f>
        <v>51</v>
      </c>
      <c r="H26" s="534">
        <f>'Total Jurisdiction'!H26-'County Total'!H26</f>
        <v>54.316939890710387</v>
      </c>
      <c r="I26" s="265">
        <f>'Total Jurisdiction'!I26-'County Total'!I26</f>
        <v>235</v>
      </c>
      <c r="J26" s="263">
        <f>'Total Jurisdiction'!J26-'County Total'!J26</f>
        <v>195</v>
      </c>
      <c r="K26" s="266">
        <f>'Total Jurisdiction'!K26-'County Total'!K26</f>
        <v>203</v>
      </c>
      <c r="L26" s="267">
        <f t="shared" si="11"/>
        <v>40</v>
      </c>
      <c r="M26" s="270">
        <f t="shared" si="12"/>
        <v>32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262">
        <f>'Total Jurisdiction'!C27-'County Total'!C27</f>
        <v>16</v>
      </c>
      <c r="D27" s="263">
        <f>'Total Jurisdiction'!D27-'County Total'!D27</f>
        <v>24</v>
      </c>
      <c r="E27" s="534">
        <f>'Total Jurisdiction'!E27-'County Total'!E27</f>
        <v>19.71857923497268</v>
      </c>
      <c r="F27" s="265">
        <f>'Total Jurisdiction'!F27-'County Total'!F27</f>
        <v>74</v>
      </c>
      <c r="G27" s="263">
        <f>'Total Jurisdiction'!G27-'County Total'!G27</f>
        <v>66</v>
      </c>
      <c r="H27" s="534">
        <f>'Total Jurisdiction'!H27-'County Total'!H27</f>
        <v>78.874316939890718</v>
      </c>
      <c r="I27" s="265">
        <f>'Total Jurisdiction'!I27-'County Total'!I27</f>
        <v>291</v>
      </c>
      <c r="J27" s="263">
        <f>'Total Jurisdiction'!J27-'County Total'!J27</f>
        <v>330</v>
      </c>
      <c r="K27" s="266">
        <f>'Total Jurisdiction'!K27-'County Total'!K27</f>
        <v>302</v>
      </c>
      <c r="L27" s="267">
        <f>I27-J27</f>
        <v>-39</v>
      </c>
      <c r="M27" s="270">
        <f>I27-K27</f>
        <v>-11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262">
        <f>'Total Jurisdiction'!C28-'County Total'!C28</f>
        <v>3</v>
      </c>
      <c r="D28" s="263">
        <f>'Total Jurisdiction'!D28-'County Total'!D28</f>
        <v>6</v>
      </c>
      <c r="E28" s="534">
        <f>'Total Jurisdiction'!E28-'County Total'!E28</f>
        <v>2.2759562841530054</v>
      </c>
      <c r="F28" s="265">
        <f>'Total Jurisdiction'!F28-'County Total'!F28</f>
        <v>15</v>
      </c>
      <c r="G28" s="263">
        <f>'Total Jurisdiction'!G28-'County Total'!G28</f>
        <v>16</v>
      </c>
      <c r="H28" s="534">
        <f>'Total Jurisdiction'!H28-'County Total'!H28</f>
        <v>9.1038251366120218</v>
      </c>
      <c r="I28" s="265">
        <f>'Total Jurisdiction'!I28-'County Total'!I28</f>
        <v>53</v>
      </c>
      <c r="J28" s="263">
        <f>'Total Jurisdiction'!J28-'County Total'!J28</f>
        <v>35</v>
      </c>
      <c r="K28" s="266">
        <f>'Total Jurisdiction'!K28-'County Total'!K28</f>
        <v>43</v>
      </c>
      <c r="L28" s="267">
        <f t="shared" si="11"/>
        <v>18</v>
      </c>
      <c r="M28" s="270">
        <f t="shared" si="12"/>
        <v>10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262">
        <f>'Total Jurisdiction'!C29-'County Total'!C29</f>
        <v>12</v>
      </c>
      <c r="D29" s="263">
        <f>'Total Jurisdiction'!D29-'County Total'!D29</f>
        <v>15</v>
      </c>
      <c r="E29" s="534">
        <f>'Total Jurisdiction'!E29-'County Total'!E29</f>
        <v>15.319672131147543</v>
      </c>
      <c r="F29" s="265">
        <f>'Total Jurisdiction'!F29-'County Total'!F29</f>
        <v>53</v>
      </c>
      <c r="G29" s="263">
        <f>'Total Jurisdiction'!G29-'County Total'!G29</f>
        <v>59</v>
      </c>
      <c r="H29" s="534">
        <f>'Total Jurisdiction'!H29-'County Total'!H29</f>
        <v>61.278688524590173</v>
      </c>
      <c r="I29" s="265">
        <f>'Total Jurisdiction'!I29-'County Total'!I29</f>
        <v>236</v>
      </c>
      <c r="J29" s="263">
        <f>'Total Jurisdiction'!J29-'County Total'!J29</f>
        <v>260</v>
      </c>
      <c r="K29" s="266">
        <f>'Total Jurisdiction'!K29-'County Total'!K29</f>
        <v>268</v>
      </c>
      <c r="L29" s="267">
        <f t="shared" si="11"/>
        <v>-24</v>
      </c>
      <c r="M29" s="270">
        <f>I29-K29</f>
        <v>-32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146</v>
      </c>
      <c r="D30" s="285">
        <f t="shared" si="15"/>
        <v>139</v>
      </c>
      <c r="E30" s="286">
        <f t="shared" si="15"/>
        <v>138.24043715846994</v>
      </c>
      <c r="F30" s="287">
        <f t="shared" si="15"/>
        <v>547</v>
      </c>
      <c r="G30" s="285">
        <f t="shared" si="15"/>
        <v>486</v>
      </c>
      <c r="H30" s="286">
        <f t="shared" si="15"/>
        <v>552.96174863387978</v>
      </c>
      <c r="I30" s="287">
        <f t="shared" si="15"/>
        <v>2280</v>
      </c>
      <c r="J30" s="285">
        <f t="shared" si="15"/>
        <v>2339</v>
      </c>
      <c r="K30" s="286">
        <f t="shared" si="15"/>
        <v>2218</v>
      </c>
      <c r="L30" s="276">
        <f>(I30-J30)/J30</f>
        <v>-2.5224454895254381E-2</v>
      </c>
      <c r="M30" s="277">
        <f>(I30-K30)/K30</f>
        <v>2.7953110910730387E-2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177</v>
      </c>
      <c r="D31" s="273">
        <f t="shared" ref="D31:K31" si="16">D30+D19</f>
        <v>165</v>
      </c>
      <c r="E31" s="274">
        <f t="shared" si="16"/>
        <v>159.10902013623775</v>
      </c>
      <c r="F31" s="275">
        <f t="shared" si="16"/>
        <v>642</v>
      </c>
      <c r="G31" s="273">
        <f t="shared" si="16"/>
        <v>548</v>
      </c>
      <c r="H31" s="274">
        <f t="shared" si="16"/>
        <v>636.43859570327118</v>
      </c>
      <c r="I31" s="275">
        <f t="shared" si="16"/>
        <v>2595</v>
      </c>
      <c r="J31" s="273">
        <f t="shared" si="16"/>
        <v>2699</v>
      </c>
      <c r="K31" s="274">
        <f t="shared" si="16"/>
        <v>2486</v>
      </c>
      <c r="L31" s="276">
        <f>(I31-J31)/J31</f>
        <v>-3.8532789922193403E-2</v>
      </c>
      <c r="M31" s="277">
        <f>(I31-K31)/K31</f>
        <v>4.3845534995977473E-2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">
      <c r="B33" s="291" t="s">
        <v>70</v>
      </c>
      <c r="F33" s="292" t="s">
        <v>60</v>
      </c>
      <c r="G33" s="293"/>
      <c r="H33" s="294"/>
      <c r="I33" s="295">
        <f>I31-J31</f>
        <v>-104</v>
      </c>
    </row>
    <row r="34" spans="1:27" x14ac:dyDescent="0.2">
      <c r="B34" s="291" t="s">
        <v>73</v>
      </c>
      <c r="M34" s="296"/>
    </row>
    <row r="35" spans="1:27" x14ac:dyDescent="0.2">
      <c r="B35" s="291" t="s">
        <v>71</v>
      </c>
      <c r="M35" s="296"/>
    </row>
    <row r="36" spans="1:27" ht="13.5" thickBot="1" x14ac:dyDescent="0.25">
      <c r="B36" s="291" t="s">
        <v>199</v>
      </c>
      <c r="C36" s="291"/>
      <c r="D36" s="291"/>
      <c r="K36" s="217"/>
      <c r="L36" s="297"/>
      <c r="M36" s="296"/>
    </row>
    <row r="37" spans="1:27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5" thickBot="1" x14ac:dyDescent="0.25">
      <c r="A40" s="226"/>
      <c r="B40" s="325"/>
      <c r="C40" s="250" t="s">
        <v>233</v>
      </c>
      <c r="D40" s="250" t="s">
        <v>222</v>
      </c>
      <c r="E40" s="251" t="s">
        <v>181</v>
      </c>
      <c r="F40" s="250" t="s">
        <v>233</v>
      </c>
      <c r="G40" s="253">
        <v>42826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27" x14ac:dyDescent="0.2">
      <c r="A41" s="19"/>
      <c r="B41" s="343" t="s">
        <v>75</v>
      </c>
      <c r="C41" s="299">
        <f>'Total Jurisdiction'!C44-'County Total'!C41</f>
        <v>27</v>
      </c>
      <c r="D41" s="299">
        <f>'Total Jurisdiction'!D44-'County Total'!D41</f>
        <v>23</v>
      </c>
      <c r="E41" s="547">
        <f>'Total Jurisdiction'!E44-'County Total'!E41</f>
        <v>22.936986301369867</v>
      </c>
      <c r="F41" s="354">
        <f>'Total Jurisdiction'!F44-'County Total'!F41</f>
        <v>84</v>
      </c>
      <c r="G41" s="298">
        <f>'Total Jurisdiction'!G44-'County Total'!G41</f>
        <v>67</v>
      </c>
      <c r="H41" s="547">
        <f>'Total Jurisdiction'!H44-'County Total'!H41</f>
        <v>91.747945205479468</v>
      </c>
      <c r="I41" s="548">
        <f>'Total Jurisdiction'!I44-'County Total'!I41</f>
        <v>377</v>
      </c>
      <c r="J41" s="488">
        <f>'Total Jurisdiction'!J44-'County Total'!J41</f>
        <v>515</v>
      </c>
      <c r="K41" s="550">
        <f>'Total Jurisdiction'!K44-'County Total'!K41</f>
        <v>189</v>
      </c>
      <c r="L41" s="332">
        <f>I41-J41</f>
        <v>-138</v>
      </c>
      <c r="M41" s="333">
        <f>I41-K41</f>
        <v>188</v>
      </c>
      <c r="N41" s="216"/>
    </row>
    <row r="42" spans="1:27" ht="13.5" thickBot="1" x14ac:dyDescent="0.25">
      <c r="A42" s="19"/>
      <c r="B42" s="344" t="s">
        <v>76</v>
      </c>
      <c r="C42" s="299">
        <f>'Total Jurisdiction'!C45-'County Total'!C42</f>
        <v>75</v>
      </c>
      <c r="D42" s="299">
        <f>'Total Jurisdiction'!D45-'County Total'!D42</f>
        <v>50</v>
      </c>
      <c r="E42" s="547">
        <f>'Total Jurisdiction'!E45-'County Total'!E42</f>
        <v>51.984315068493146</v>
      </c>
      <c r="F42" s="481">
        <f>'Total Jurisdiction'!F45-'County Total'!F42</f>
        <v>259</v>
      </c>
      <c r="G42" s="298">
        <f>'Total Jurisdiction'!G45-'County Total'!G42</f>
        <v>211</v>
      </c>
      <c r="H42" s="547">
        <f>'Total Jurisdiction'!H45-'County Total'!H42</f>
        <v>207.93726027397258</v>
      </c>
      <c r="I42" s="549">
        <f>'Total Jurisdiction'!I45-'County Total'!I42</f>
        <v>978</v>
      </c>
      <c r="J42" s="490">
        <f>'Total Jurisdiction'!J45-'County Total'!J42</f>
        <v>1151</v>
      </c>
      <c r="K42" s="551">
        <f>'Total Jurisdiction'!K45-'County Total'!K42</f>
        <v>880</v>
      </c>
      <c r="L42" s="480">
        <f>I42-J42</f>
        <v>-173</v>
      </c>
      <c r="M42" s="300">
        <f>I42-K42</f>
        <v>98</v>
      </c>
      <c r="N42" s="27"/>
    </row>
    <row r="43" spans="1:27" ht="6.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19" priority="2" stopIfTrue="1" operator="greaterThan">
      <formula>0</formula>
    </cfRule>
  </conditionalFormatting>
  <conditionalFormatting sqref="C21:C29 C11:C12 C14:C18">
    <cfRule type="cellIs" dxfId="118" priority="3" stopIfTrue="1" operator="greaterThan">
      <formula>E11+P11</formula>
    </cfRule>
    <cfRule type="cellIs" dxfId="117" priority="4" stopIfTrue="1" operator="lessThan">
      <formula>E11-P11</formula>
    </cfRule>
  </conditionalFormatting>
  <conditionalFormatting sqref="F21:F29 F12 F14:F18">
    <cfRule type="cellIs" dxfId="116" priority="5" stopIfTrue="1" operator="greaterThan">
      <formula>H12+Q12</formula>
    </cfRule>
    <cfRule type="cellIs" dxfId="115" priority="6" stopIfTrue="1" operator="lessThan">
      <formula>H12-Q12</formula>
    </cfRule>
  </conditionalFormatting>
  <conditionalFormatting sqref="I21:I29 I11:I12 I14:I18">
    <cfRule type="cellIs" dxfId="114" priority="7" stopIfTrue="1" operator="greaterThan">
      <formula>J11+R11</formula>
    </cfRule>
    <cfRule type="cellIs" dxfId="113" priority="8" stopIfTrue="1" operator="lessThan">
      <formula>J11-R11</formula>
    </cfRule>
  </conditionalFormatting>
  <conditionalFormatting sqref="M43">
    <cfRule type="cellIs" dxfId="112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topLeftCell="A28" workbookViewId="0">
      <selection activeCell="C41" sqref="C41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 t="s">
        <v>61</v>
      </c>
      <c r="I4" s="223" t="s">
        <v>167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232</v>
      </c>
      <c r="G5" s="224"/>
      <c r="L5"/>
      <c r="N5" s="216"/>
      <c r="P5" s="215" t="s">
        <v>56</v>
      </c>
    </row>
    <row r="6" spans="1:21" ht="14.45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233</v>
      </c>
      <c r="D10" s="250" t="s">
        <v>222</v>
      </c>
      <c r="E10" s="251" t="s">
        <v>181</v>
      </c>
      <c r="F10" s="252" t="s">
        <v>234</v>
      </c>
      <c r="G10" s="253">
        <v>42826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1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1</v>
      </c>
      <c r="K11" s="263">
        <f>'Beat 11'!K11+'Beat 12'!K11+'Beat 13'!K11+'Beat 14'!K11+'Beat 15'!K11+'Beat 16'!K11</f>
        <v>0</v>
      </c>
      <c r="L11" s="316">
        <f>+(I11-J11)</f>
        <v>1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198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0.22950819672131145</v>
      </c>
      <c r="F12" s="265">
        <f>'Beat 11'!G12+'Beat 12'!G12+'Beat 13'!G12+'Beat 14'!G12+'Beat 15'!G12+'Beat 16'!G12</f>
        <v>0</v>
      </c>
      <c r="G12" s="263">
        <f>'Previous 28 Days'!M3</f>
        <v>0</v>
      </c>
      <c r="H12" s="314">
        <f>'Beat 11'!H12+'Beat 12'!H12+'Beat 13'!H12+'Beat 14'!H12+'Beat 15'!H12+'Beat 16'!H12</f>
        <v>0.91803278688524581</v>
      </c>
      <c r="I12" s="265">
        <f>'Beat 11'!I12+'Beat 12'!I12+'Beat 13'!I12+'Beat 14'!I12+'Beat 15'!I12+'Beat 16'!I12</f>
        <v>2</v>
      </c>
      <c r="J12" s="263">
        <f>'Beat 11'!J12+'Beat 12'!J12+'Beat 13'!J12+'Beat 14'!J12+'Beat 15'!J12+'Beat 16'!J12</f>
        <v>5</v>
      </c>
      <c r="K12" s="263">
        <f>'Beat 11'!K12+'Beat 12'!K12+'Beat 13'!K12+'Beat 14'!K12+'Beat 15'!K12+'Beat 16'!K12</f>
        <v>2</v>
      </c>
      <c r="L12" s="316">
        <f>I12-J12</f>
        <v>-3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200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4">
        <f>H13/4</f>
        <v>0.32602739726027397</v>
      </c>
      <c r="F13" s="265">
        <f>'Beat 11'!G13+'Beat 12'!G13+'Beat 13'!G13+'Beat 14'!G13+'Beat 15'!G13+'Beat 16'!G13</f>
        <v>1</v>
      </c>
      <c r="G13" s="558">
        <f>'New Rapes'!L6</f>
        <v>0</v>
      </c>
      <c r="H13" s="314">
        <f>'Beat 11'!H13+'Beat 12'!H13+'Beat 13'!H13+'Beat 14'!H13+'Beat 15'!H13+'Beat 16'!H13</f>
        <v>1.3041095890410959</v>
      </c>
      <c r="I13" s="265">
        <f>'Beat 11'!I13+'Beat 12'!I13+'Beat 13'!I13+'Beat 14'!I13+'Beat 15'!I13+'Beat 16'!I13</f>
        <v>3</v>
      </c>
      <c r="J13" s="263">
        <f>'Beat 11'!J13+'Beat 12'!J13+'Beat 13'!J13+'Beat 14'!J13+'Beat 15'!J13+'Beat 16'!J13</f>
        <v>5</v>
      </c>
      <c r="K13" s="263">
        <f>'Beat 11'!K13+'Beat 12'!K13+'Beat 13'!K13+'Beat 14'!K13+'Beat 15'!K13+'Beat 16'!K13</f>
        <v>1</v>
      </c>
      <c r="L13" s="316">
        <f>I13-J13</f>
        <v>-2</v>
      </c>
      <c r="M13" s="270">
        <f t="shared" ref="M13" si="2">I13-K13</f>
        <v>2</v>
      </c>
      <c r="N13" s="231"/>
    </row>
    <row r="14" spans="1:21" x14ac:dyDescent="0.2">
      <c r="A14" s="226"/>
      <c r="B14" s="269" t="s">
        <v>29</v>
      </c>
      <c r="C14" s="262">
        <f>'Beat 11'!F14+'Beat 12'!F14+'Beat 13'!F14+'Beat 14'!F14+'Beat 15'!F14+'Beat 16'!F14</f>
        <v>1</v>
      </c>
      <c r="D14" s="263">
        <f>'Beat 11'!E14+'Beat 12'!E14+'Beat 13'!E14+'Beat 14'!E14+'Beat 15'!E14+'Beat 16'!E14</f>
        <v>0</v>
      </c>
      <c r="E14" s="314">
        <f t="shared" ref="E14:E18" si="3">H14/4</f>
        <v>0.36338797814207652</v>
      </c>
      <c r="F14" s="265">
        <f>'Beat 11'!G14+'Beat 12'!G14+'Beat 13'!G14+'Beat 14'!G14+'Beat 15'!G14+'Beat 16'!G14</f>
        <v>1</v>
      </c>
      <c r="G14" s="263">
        <f>'Previous 28 Days'!D3</f>
        <v>1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3</v>
      </c>
      <c r="J14" s="263">
        <f>'Beat 11'!J14+'Beat 12'!J14+'Beat 13'!J14+'Beat 14'!J14+'Beat 15'!J14+'Beat 16'!J14</f>
        <v>7</v>
      </c>
      <c r="K14" s="263">
        <f>'Beat 11'!K14+'Beat 12'!K14+'Beat 13'!K14+'Beat 14'!K14+'Beat 15'!K14+'Beat 16'!K14</f>
        <v>4</v>
      </c>
      <c r="L14" s="316">
        <f>+(I14-J14)</f>
        <v>-4</v>
      </c>
      <c r="M14" s="270">
        <f t="shared" si="0"/>
        <v>-1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2</v>
      </c>
      <c r="E15" s="314">
        <f>H15/4</f>
        <v>0.76502732240437155</v>
      </c>
      <c r="F15" s="265">
        <f>'Beat 11'!G15+'Beat 12'!G15+'Beat 13'!G15+'Beat 14'!G15+'Beat 15'!G15+'Beat 16'!G15</f>
        <v>3</v>
      </c>
      <c r="G15" s="263">
        <f>'Previous 28 Days'!Q3</f>
        <v>0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6</v>
      </c>
      <c r="J15" s="263">
        <f>'Beat 11'!J15+'Beat 12'!J15+'Beat 13'!J15+'Beat 14'!J15+'Beat 15'!J15+'Beat 16'!J15</f>
        <v>9</v>
      </c>
      <c r="K15" s="263">
        <f>'Beat 11'!K15+'Beat 12'!K15+'Beat 13'!K15+'Beat 14'!K15+'Beat 15'!K15+'Beat 16'!K15</f>
        <v>6</v>
      </c>
      <c r="L15" s="316">
        <f>+(I15-J15)</f>
        <v>-3</v>
      </c>
      <c r="M15" s="270">
        <f t="shared" si="0"/>
        <v>0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0</v>
      </c>
      <c r="G16" s="263">
        <f>'Previous 28 Days'!O3</f>
        <v>1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2</v>
      </c>
      <c r="J16" s="263">
        <f>'Beat 11'!J16+'Beat 12'!J16+'Beat 13'!J16+'Beat 14'!J16+'Beat 15'!J16+'Beat 16'!J16</f>
        <v>8</v>
      </c>
      <c r="K16" s="263">
        <f>'Beat 11'!K16+'Beat 12'!K16+'Beat 13'!K16+'Beat 14'!K16+'Beat 15'!K16+'Beat 16'!K16</f>
        <v>2</v>
      </c>
      <c r="L16" s="316">
        <f>+(I16-J16)</f>
        <v>-6</v>
      </c>
      <c r="M16" s="270">
        <f t="shared" si="0"/>
        <v>0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">
      <c r="A17" s="226"/>
      <c r="B17" s="269" t="s">
        <v>40</v>
      </c>
      <c r="C17" s="262">
        <f>'Beat 11'!F17+'Beat 12'!F17+'Beat 13'!F17+'Beat 14'!F17+'Beat 15'!F17+'Beat 16'!F17</f>
        <v>1</v>
      </c>
      <c r="D17" s="263">
        <f>'Beat 11'!E17+'Beat 12'!E17+'Beat 13'!E17+'Beat 14'!E17+'Beat 15'!E17+'Beat 16'!E17</f>
        <v>0</v>
      </c>
      <c r="E17" s="314">
        <f t="shared" si="3"/>
        <v>0.87978142076502741</v>
      </c>
      <c r="F17" s="265">
        <f>'Beat 11'!G17+'Beat 12'!G17+'Beat 13'!G17+'Beat 14'!G17+'Beat 15'!G17+'Beat 16'!G17</f>
        <v>3</v>
      </c>
      <c r="G17" s="263">
        <f>'Previous 28 Days'!E3</f>
        <v>2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14</v>
      </c>
      <c r="J17" s="263">
        <f>'Beat 11'!J17+'Beat 12'!J17+'Beat 13'!J17+'Beat 14'!J17+'Beat 15'!J17+'Beat 16'!J17</f>
        <v>16</v>
      </c>
      <c r="K17" s="263">
        <f>'Beat 11'!K17+'Beat 12'!K17+'Beat 13'!K17+'Beat 14'!K17+'Beat 15'!K17+'Beat 16'!K17</f>
        <v>9</v>
      </c>
      <c r="L17" s="316">
        <f>+(I17-J17)</f>
        <v>-2</v>
      </c>
      <c r="M17" s="270">
        <f t="shared" si="0"/>
        <v>5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">
      <c r="A18" s="226"/>
      <c r="B18" s="269" t="s">
        <v>41</v>
      </c>
      <c r="C18" s="262">
        <f>'Beat 11'!F18+'Beat 12'!F18+'Beat 13'!F18+'Beat 14'!F18+'Beat 15'!F18+'Beat 16'!F18</f>
        <v>1</v>
      </c>
      <c r="D18" s="263">
        <f>'Beat 11'!E18+'Beat 12'!E18+'Beat 13'!E18+'Beat 14'!E18+'Beat 15'!E18+'Beat 16'!E18</f>
        <v>1</v>
      </c>
      <c r="E18" s="314">
        <f t="shared" si="3"/>
        <v>0.97540983606557385</v>
      </c>
      <c r="F18" s="265">
        <f>'Beat 11'!G18+'Beat 12'!G18+'Beat 13'!G18+'Beat 14'!G18+'Beat 15'!G18+'Beat 16'!G18</f>
        <v>4</v>
      </c>
      <c r="G18" s="263">
        <f>'Previous 28 Days'!J3</f>
        <v>5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16</v>
      </c>
      <c r="J18" s="263">
        <f>'Beat 11'!J18+'Beat 12'!J18+'Beat 13'!J18+'Beat 14'!J18+'Beat 15'!J18+'Beat 16'!J18</f>
        <v>14</v>
      </c>
      <c r="K18" s="263">
        <f>'Beat 11'!K18+'Beat 12'!K18+'Beat 13'!K18+'Beat 14'!K18+'Beat 15'!K18+'Beat 16'!K18</f>
        <v>10</v>
      </c>
      <c r="L18" s="316">
        <f>I18-J18</f>
        <v>2</v>
      </c>
      <c r="M18" s="270">
        <f t="shared" si="0"/>
        <v>6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5" thickBot="1" x14ac:dyDescent="0.25">
      <c r="A19" s="226"/>
      <c r="B19" s="271" t="s">
        <v>2</v>
      </c>
      <c r="C19" s="272">
        <f t="shared" ref="C19:K19" si="6">SUM(C11:C18)</f>
        <v>3</v>
      </c>
      <c r="D19" s="273">
        <f t="shared" si="6"/>
        <v>3</v>
      </c>
      <c r="E19" s="317">
        <f>SUM(E11:E18)</f>
        <v>3.9981585448012584</v>
      </c>
      <c r="F19" s="272">
        <f t="shared" si="6"/>
        <v>12</v>
      </c>
      <c r="G19" s="273">
        <f t="shared" si="6"/>
        <v>10</v>
      </c>
      <c r="H19" s="317">
        <f>SUM(H11:H18)</f>
        <v>15.992634179205034</v>
      </c>
      <c r="I19" s="275">
        <f t="shared" si="6"/>
        <v>48</v>
      </c>
      <c r="J19" s="273">
        <f t="shared" si="6"/>
        <v>65</v>
      </c>
      <c r="K19" s="310">
        <f t="shared" si="6"/>
        <v>34</v>
      </c>
      <c r="L19" s="318">
        <f>(I19-J19)/J19</f>
        <v>-0.26153846153846155</v>
      </c>
      <c r="M19" s="319">
        <f>(I19-K19)/K19</f>
        <v>0.41176470588235292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25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">
      <c r="A21" s="226"/>
      <c r="B21" s="261" t="s">
        <v>32</v>
      </c>
      <c r="C21" s="262">
        <f>'Beat 11'!F21+'Beat 12'!F21+'Beat 13'!F21+'Beat 14'!F21+'Beat 15'!F21+'Beat 16'!F21</f>
        <v>0</v>
      </c>
      <c r="D21" s="263">
        <f>'Beat 11'!E21+'Beat 12'!E21+'Beat 13'!E21+'Beat 14'!E21+'Beat 15'!E21+'Beat 16'!E21</f>
        <v>1</v>
      </c>
      <c r="E21" s="314">
        <f t="shared" ref="E21:E28" si="7">H21/4</f>
        <v>1.2622950819672132</v>
      </c>
      <c r="F21" s="265">
        <f>'Beat 11'!G21+'Beat 12'!G21+'Beat 13'!G21+'Beat 14'!G21+'Beat 15'!G21+'Beat 16'!G21</f>
        <v>3</v>
      </c>
      <c r="G21" s="263">
        <f>'Previous 28 Days'!C3</f>
        <v>3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15</v>
      </c>
      <c r="J21" s="263">
        <f>'Beat 11'!J21+'Beat 12'!J21+'Beat 13'!J21+'Beat 14'!J21+'Beat 15'!J21+'Beat 16'!J21</f>
        <v>23</v>
      </c>
      <c r="K21" s="263">
        <f>'Beat 11'!K21+'Beat 12'!K21+'Beat 13'!K21+'Beat 14'!K21+'Beat 15'!K21+'Beat 16'!K21</f>
        <v>25</v>
      </c>
      <c r="L21" s="316">
        <f>I21-J21</f>
        <v>-8</v>
      </c>
      <c r="M21" s="270">
        <f>I21-K21</f>
        <v>-10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">
      <c r="A22" s="226"/>
      <c r="B22" s="282" t="s">
        <v>42</v>
      </c>
      <c r="C22" s="262">
        <f>'Beat 11'!F22+'Beat 12'!F22+'Beat 13'!F22+'Beat 14'!F22+'Beat 15'!F22+'Beat 16'!F22</f>
        <v>8</v>
      </c>
      <c r="D22" s="263">
        <f>'Beat 11'!E22+'Beat 12'!E22+'Beat 13'!E22+'Beat 14'!E22+'Beat 15'!E22+'Beat 16'!E22</f>
        <v>4</v>
      </c>
      <c r="E22" s="314">
        <f t="shared" si="7"/>
        <v>5.5655737704918025</v>
      </c>
      <c r="F22" s="265">
        <f>'Beat 11'!G22+'Beat 12'!G22+'Beat 13'!G22+'Beat 14'!G22+'Beat 15'!G22+'Beat 16'!G22</f>
        <v>20</v>
      </c>
      <c r="G22" s="263">
        <f>'Previous 28 Days'!N3</f>
        <v>14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91</v>
      </c>
      <c r="J22" s="263">
        <f>'Beat 11'!J22+'Beat 12'!J22+'Beat 13'!J22+'Beat 14'!J22+'Beat 15'!J22+'Beat 16'!J22</f>
        <v>102</v>
      </c>
      <c r="K22" s="263">
        <f>'Beat 11'!K22+'Beat 12'!K22+'Beat 13'!K22+'Beat 14'!K22+'Beat 15'!K22+'Beat 16'!K22</f>
        <v>81</v>
      </c>
      <c r="L22" s="316">
        <f t="shared" ref="L22:L28" si="9">+(I22-J22)</f>
        <v>-11</v>
      </c>
      <c r="M22" s="270">
        <f t="shared" ref="M22:M28" si="10">I22-K22</f>
        <v>10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">
      <c r="A23" s="226"/>
      <c r="B23" s="282" t="s">
        <v>62</v>
      </c>
      <c r="C23" s="262">
        <f>'Beat 11'!F23+'Beat 12'!F23+'Beat 13'!F23+'Beat 14'!F23+'Beat 15'!F23+'Beat 16'!F23</f>
        <v>1</v>
      </c>
      <c r="D23" s="263">
        <f>'Beat 11'!E23+'Beat 12'!E23+'Beat 13'!E23+'Beat 14'!E23+'Beat 15'!E23+'Beat 16'!E23</f>
        <v>0</v>
      </c>
      <c r="E23" s="314">
        <f>H23/4</f>
        <v>0.26775956284153007</v>
      </c>
      <c r="F23" s="265">
        <f>'Beat 11'!G23+'Beat 12'!G23+'Beat 13'!G23+'Beat 14'!G23+'Beat 15'!G23+'Beat 16'!G23</f>
        <v>2</v>
      </c>
      <c r="G23" s="263">
        <f>'Previous 28 Days'!L3</f>
        <v>0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3</v>
      </c>
      <c r="J23" s="263">
        <f>'Beat 11'!J23+'Beat 12'!J23+'Beat 13'!J23+'Beat 14'!J23+'Beat 15'!J23+'Beat 16'!J23</f>
        <v>4</v>
      </c>
      <c r="K23" s="263">
        <f>'Beat 11'!K23+'Beat 12'!K23+'Beat 13'!K23+'Beat 14'!K23+'Beat 15'!K23+'Beat 16'!K23</f>
        <v>2</v>
      </c>
      <c r="L23" s="316">
        <f t="shared" si="9"/>
        <v>-1</v>
      </c>
      <c r="M23" s="270">
        <f t="shared" si="10"/>
        <v>1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">
      <c r="A24" s="226"/>
      <c r="B24" s="282" t="s">
        <v>33</v>
      </c>
      <c r="C24" s="262">
        <f>'Beat 11'!F24+'Beat 12'!F24+'Beat 13'!F24+'Beat 14'!F24+'Beat 15'!F24+'Beat 16'!F24</f>
        <v>1</v>
      </c>
      <c r="D24" s="263">
        <f>'Beat 11'!E24+'Beat 12'!E24+'Beat 13'!E24+'Beat 14'!E24+'Beat 15'!E24+'Beat 16'!E24</f>
        <v>4</v>
      </c>
      <c r="E24" s="314">
        <f t="shared" si="7"/>
        <v>3.4808743169398908</v>
      </c>
      <c r="F24" s="265">
        <f>'Beat 11'!G24+'Beat 12'!G24+'Beat 13'!G24+'Beat 14'!G24+'Beat 15'!G24+'Beat 16'!G24</f>
        <v>13</v>
      </c>
      <c r="G24" s="263">
        <f>'Previous 28 Days'!P3</f>
        <v>14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57</v>
      </c>
      <c r="J24" s="263">
        <f>'Beat 11'!J24+'Beat 12'!J24+'Beat 13'!J24+'Beat 14'!J24+'Beat 15'!J24+'Beat 16'!J24</f>
        <v>57</v>
      </c>
      <c r="K24" s="263">
        <f>'Beat 11'!K24+'Beat 12'!K24+'Beat 13'!K24+'Beat 14'!K24+'Beat 15'!K24+'Beat 16'!K24</f>
        <v>69</v>
      </c>
      <c r="L24" s="316">
        <f t="shared" si="9"/>
        <v>0</v>
      </c>
      <c r="M24" s="270">
        <f t="shared" si="10"/>
        <v>-12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">
      <c r="A25" s="226"/>
      <c r="B25" s="269" t="s">
        <v>7</v>
      </c>
      <c r="C25" s="262">
        <f>'Beat 11'!F25+'Beat 12'!F25+'Beat 13'!F25+'Beat 14'!F25+'Beat 15'!F25+'Beat 16'!F25</f>
        <v>6</v>
      </c>
      <c r="D25" s="263">
        <f>'Beat 11'!E25+'Beat 12'!E25+'Beat 13'!E25+'Beat 14'!E25+'Beat 15'!E25+'Beat 16'!E25</f>
        <v>2</v>
      </c>
      <c r="E25" s="314">
        <f>H25/4</f>
        <v>7.2868852459016393</v>
      </c>
      <c r="F25" s="265">
        <f>'Beat 11'!G25+'Beat 12'!G25+'Beat 13'!G25+'Beat 14'!G25+'Beat 15'!G25+'Beat 16'!G25</f>
        <v>15</v>
      </c>
      <c r="G25" s="263">
        <f>'Previous 28 Days'!G3</f>
        <v>10</v>
      </c>
      <c r="H25" s="314">
        <f>'Beat 11'!H25+'Beat 12'!H25+'Beat 13'!H25+'Beat 14'!H25+'Beat 15'!H25+'Beat 16'!H25</f>
        <v>29.147540983606557</v>
      </c>
      <c r="I25" s="265">
        <f>'Beat 11'!I25+'Beat 12'!I25+'Beat 13'!I25+'Beat 14'!I25+'Beat 15'!I25+'Beat 16'!I25</f>
        <v>80</v>
      </c>
      <c r="J25" s="263">
        <f>'Beat 11'!J25+'Beat 12'!J25+'Beat 13'!J25+'Beat 14'!J25+'Beat 15'!J25+'Beat 16'!J25</f>
        <v>128</v>
      </c>
      <c r="K25" s="263">
        <f>'Beat 11'!K25+'Beat 12'!K25+'Beat 13'!K25+'Beat 14'!K25+'Beat 15'!K25+'Beat 16'!K25</f>
        <v>93</v>
      </c>
      <c r="L25" s="316">
        <f t="shared" si="9"/>
        <v>-48</v>
      </c>
      <c r="M25" s="270">
        <f t="shared" si="10"/>
        <v>-13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">
      <c r="A26" s="226"/>
      <c r="B26" s="269" t="s">
        <v>68</v>
      </c>
      <c r="C26" s="262">
        <f>'Beat 11'!F26+'Beat 12'!F26+'Beat 13'!F26+'Beat 14'!F26+'Beat 15'!F26+'Beat 16'!F26</f>
        <v>1</v>
      </c>
      <c r="D26" s="263">
        <f>'Beat 11'!E26+'Beat 12'!E26+'Beat 13'!E26+'Beat 14'!E26+'Beat 15'!E26+'Beat 16'!E26</f>
        <v>3</v>
      </c>
      <c r="E26" s="314">
        <f t="shared" si="7"/>
        <v>2.6010928961748636</v>
      </c>
      <c r="F26" s="265">
        <f>'Beat 11'!G26+'Beat 12'!G26+'Beat 13'!G26+'Beat 14'!G26+'Beat 15'!G26+'Beat 16'!G26</f>
        <v>8</v>
      </c>
      <c r="G26" s="263">
        <f>'Previous 28 Days'!I3</f>
        <v>12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39</v>
      </c>
      <c r="J26" s="263">
        <f>'Beat 11'!J26+'Beat 12'!J26+'Beat 13'!J26+'Beat 14'!J26+'Beat 15'!J26+'Beat 16'!J26</f>
        <v>42</v>
      </c>
      <c r="K26" s="263">
        <f>'Beat 11'!K26+'Beat 12'!K26+'Beat 13'!K26+'Beat 14'!K26+'Beat 15'!K26+'Beat 16'!K26</f>
        <v>45</v>
      </c>
      <c r="L26" s="316">
        <f t="shared" si="9"/>
        <v>-3</v>
      </c>
      <c r="M26" s="270">
        <f t="shared" si="10"/>
        <v>-6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">
      <c r="A27" s="226"/>
      <c r="B27" s="269" t="s">
        <v>67</v>
      </c>
      <c r="C27" s="262">
        <f>'Beat 11'!F27+'Beat 12'!F27+'Beat 13'!F27+'Beat 14'!F27+'Beat 15'!F27+'Beat 16'!F27</f>
        <v>3</v>
      </c>
      <c r="D27" s="263">
        <f>'Beat 11'!E27+'Beat 12'!E27+'Beat 13'!E27+'Beat 14'!E27+'Beat 15'!E27+'Beat 16'!E27</f>
        <v>5</v>
      </c>
      <c r="E27" s="314">
        <f t="shared" si="7"/>
        <v>3.9590163934426235</v>
      </c>
      <c r="F27" s="265">
        <f>'Beat 11'!G27+'Beat 12'!G27+'Beat 13'!G27+'Beat 14'!G27+'Beat 15'!G27+'Beat 16'!G27</f>
        <v>21</v>
      </c>
      <c r="G27" s="263">
        <f>'Previous 28 Days'!H3</f>
        <v>27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85</v>
      </c>
      <c r="J27" s="263">
        <f>'Beat 11'!J27+'Beat 12'!J27+'Beat 13'!J27+'Beat 14'!J27+'Beat 15'!J27+'Beat 16'!J27</f>
        <v>58</v>
      </c>
      <c r="K27" s="263">
        <f>'Beat 11'!K27+'Beat 12'!K27+'Beat 13'!K27+'Beat 14'!K27+'Beat 15'!K27+'Beat 16'!K27</f>
        <v>57</v>
      </c>
      <c r="L27" s="316">
        <f>+(I27-J27)</f>
        <v>27</v>
      </c>
      <c r="M27" s="270">
        <f>I27-K27</f>
        <v>28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">
      <c r="A28" s="226"/>
      <c r="B28" s="269" t="s">
        <v>34</v>
      </c>
      <c r="C28" s="262">
        <f>'Beat 11'!F28+'Beat 12'!F28+'Beat 13'!F28+'Beat 14'!F28+'Beat 15'!F28+'Beat 16'!F28</f>
        <v>1</v>
      </c>
      <c r="D28" s="263">
        <f>'Beat 11'!E28+'Beat 12'!E28+'Beat 13'!E28+'Beat 14'!E28+'Beat 15'!E28+'Beat 16'!E28</f>
        <v>3</v>
      </c>
      <c r="E28" s="314">
        <f t="shared" si="7"/>
        <v>0.91803278688524592</v>
      </c>
      <c r="F28" s="265">
        <f>'Beat 11'!G28+'Beat 12'!G28+'Beat 13'!G28+'Beat 14'!G28+'Beat 15'!G28+'Beat 16'!G28</f>
        <v>4</v>
      </c>
      <c r="G28" s="263">
        <f>'Previous 28 Days'!K3</f>
        <v>4</v>
      </c>
      <c r="H28" s="314">
        <f>'Beat 11'!H28+'Beat 12'!H28+'Beat 13'!H28+'Beat 14'!H28+'Beat 15'!H28+'Beat 16'!H28</f>
        <v>3.6721311475409837</v>
      </c>
      <c r="I28" s="265">
        <f>'Beat 11'!I28+'Beat 12'!I28+'Beat 13'!I28+'Beat 14'!I28+'Beat 15'!I28+'Beat 16'!I28</f>
        <v>20</v>
      </c>
      <c r="J28" s="263">
        <f>'Beat 11'!J28+'Beat 12'!J28+'Beat 13'!J28+'Beat 14'!J28+'Beat 15'!J28+'Beat 16'!J28</f>
        <v>8</v>
      </c>
      <c r="K28" s="263">
        <f>'Beat 11'!K28+'Beat 12'!K28+'Beat 13'!K28+'Beat 14'!K28+'Beat 15'!K28+'Beat 16'!K28</f>
        <v>14</v>
      </c>
      <c r="L28" s="316">
        <f t="shared" si="9"/>
        <v>12</v>
      </c>
      <c r="M28" s="270">
        <f t="shared" si="10"/>
        <v>6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">
      <c r="A29" s="226"/>
      <c r="B29" s="269" t="s">
        <v>8</v>
      </c>
      <c r="C29" s="262">
        <f>'Beat 11'!F29+'Beat 12'!F29+'Beat 13'!F29+'Beat 14'!F29+'Beat 15'!F29+'Beat 16'!F29</f>
        <v>1</v>
      </c>
      <c r="D29" s="263">
        <f>'Beat 11'!E29+'Beat 12'!E29+'Beat 13'!E29+'Beat 14'!E29+'Beat 15'!E29+'Beat 16'!E29</f>
        <v>2</v>
      </c>
      <c r="E29" s="314">
        <f>H29/4</f>
        <v>4.0928961748633883</v>
      </c>
      <c r="F29" s="265">
        <f>'Beat 11'!G29+'Beat 12'!G29+'Beat 13'!G29+'Beat 14'!G29+'Beat 15'!G29+'Beat 16'!G29</f>
        <v>13</v>
      </c>
      <c r="G29" s="263">
        <f>'Previous 28 Days'!B3</f>
        <v>12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57</v>
      </c>
      <c r="J29" s="263">
        <f>'Beat 11'!J29+'Beat 12'!J29+'Beat 13'!J29+'Beat 14'!J29+'Beat 15'!J29+'Beat 16'!J29</f>
        <v>58</v>
      </c>
      <c r="K29" s="263">
        <f>'Beat 11'!K29+'Beat 12'!K29+'Beat 13'!K29+'Beat 14'!K29+'Beat 15'!K29+'Beat 16'!K29</f>
        <v>66</v>
      </c>
      <c r="L29" s="316">
        <f>I29-J29</f>
        <v>-1</v>
      </c>
      <c r="M29" s="270">
        <f>I29-K29</f>
        <v>-9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">
      <c r="A30" s="226"/>
      <c r="B30" s="283" t="s">
        <v>5</v>
      </c>
      <c r="C30" s="284">
        <f t="shared" ref="C30:K30" si="11">SUM(C21:C29)</f>
        <v>22</v>
      </c>
      <c r="D30" s="285">
        <f t="shared" si="11"/>
        <v>24</v>
      </c>
      <c r="E30" s="320">
        <f t="shared" si="11"/>
        <v>29.434426229508198</v>
      </c>
      <c r="F30" s="284">
        <f t="shared" si="11"/>
        <v>99</v>
      </c>
      <c r="G30" s="285">
        <f t="shared" si="11"/>
        <v>96</v>
      </c>
      <c r="H30" s="320">
        <f t="shared" si="11"/>
        <v>117.73770491803279</v>
      </c>
      <c r="I30" s="287">
        <f t="shared" si="11"/>
        <v>447</v>
      </c>
      <c r="J30" s="285">
        <f t="shared" si="11"/>
        <v>480</v>
      </c>
      <c r="K30" s="321">
        <f t="shared" si="11"/>
        <v>452</v>
      </c>
      <c r="L30" s="318">
        <f>(I30-J30)/J30</f>
        <v>-6.8750000000000006E-2</v>
      </c>
      <c r="M30" s="319">
        <f>(I30-K30)/K30</f>
        <v>-1.1061946902654867E-2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5" thickBot="1" x14ac:dyDescent="0.25">
      <c r="A31" s="226"/>
      <c r="B31" s="271" t="s">
        <v>6</v>
      </c>
      <c r="C31" s="272">
        <f>C30+C19</f>
        <v>25</v>
      </c>
      <c r="D31" s="273">
        <f>D30+D19</f>
        <v>27</v>
      </c>
      <c r="E31" s="322">
        <f>E19+E30</f>
        <v>33.432584774309454</v>
      </c>
      <c r="F31" s="272">
        <f>F30+F19</f>
        <v>111</v>
      </c>
      <c r="G31" s="273">
        <f>G30+G19</f>
        <v>106</v>
      </c>
      <c r="H31" s="322">
        <f>H19+H30</f>
        <v>133.73033909723782</v>
      </c>
      <c r="I31" s="275">
        <f>I30+I19</f>
        <v>495</v>
      </c>
      <c r="J31" s="273">
        <f>J30+J19</f>
        <v>545</v>
      </c>
      <c r="K31" s="310">
        <f>K30+K19</f>
        <v>486</v>
      </c>
      <c r="L31" s="318">
        <f>(I31-J31)/J31</f>
        <v>-9.1743119266055051E-2</v>
      </c>
      <c r="M31" s="319">
        <f>(I31-K31)/K31</f>
        <v>1.8518518518518517E-2</v>
      </c>
      <c r="N31" s="231"/>
    </row>
    <row r="32" spans="1:24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-50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199</v>
      </c>
      <c r="C36" s="291"/>
      <c r="D36" s="291"/>
      <c r="L36" s="297"/>
      <c r="M36" s="296"/>
    </row>
    <row r="37" spans="1:14" ht="7.5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233</v>
      </c>
      <c r="D40" s="250" t="s">
        <v>222</v>
      </c>
      <c r="E40" s="251" t="s">
        <v>181</v>
      </c>
      <c r="F40" s="250" t="s">
        <v>233</v>
      </c>
      <c r="G40" s="253">
        <v>42826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">
      <c r="A41" s="226"/>
      <c r="B41" s="261" t="s">
        <v>51</v>
      </c>
      <c r="C41" s="307">
        <f>+'Calls for service'!B6</f>
        <v>103</v>
      </c>
      <c r="D41" s="307">
        <f>+'Calls for service'!B14</f>
        <v>109</v>
      </c>
      <c r="E41" s="264">
        <f>+'Calls for service'!B30</f>
        <v>113.66849315068492</v>
      </c>
      <c r="F41" s="307">
        <f>+'Calls for service'!L6</f>
        <v>422</v>
      </c>
      <c r="G41" s="307">
        <f>+'Calls for service'!L14</f>
        <v>423</v>
      </c>
      <c r="H41" s="264">
        <f>+'Calls for service'!L30</f>
        <v>454.6739726027397</v>
      </c>
      <c r="I41" s="307">
        <f>+'Calls for service'!V22</f>
        <v>1844</v>
      </c>
      <c r="J41" s="307">
        <f>+'Calls for service'!V14</f>
        <v>1862</v>
      </c>
      <c r="K41" s="334">
        <f>+'Calls for service'!V30</f>
        <v>1832</v>
      </c>
      <c r="L41" s="477">
        <f>+I41-J41</f>
        <v>-18</v>
      </c>
      <c r="M41" s="268">
        <f>+I41-K41</f>
        <v>12</v>
      </c>
      <c r="N41" s="231"/>
    </row>
    <row r="42" spans="1:14" x14ac:dyDescent="0.2">
      <c r="A42" s="226"/>
      <c r="B42" s="269" t="s">
        <v>52</v>
      </c>
      <c r="C42" s="307">
        <f>+'Calls for service'!B5</f>
        <v>265</v>
      </c>
      <c r="D42" s="307">
        <f>+'Calls for service'!B13</f>
        <v>275</v>
      </c>
      <c r="E42" s="266">
        <f>+'Calls for service'!B29</f>
        <v>281.80273972602737</v>
      </c>
      <c r="F42" s="307">
        <f>+'Calls for service'!L5</f>
        <v>1123</v>
      </c>
      <c r="G42" s="307">
        <f>+'Calls for service'!L13</f>
        <v>1090</v>
      </c>
      <c r="H42" s="266">
        <f>+'Calls for service'!L29</f>
        <v>1127.2109589041095</v>
      </c>
      <c r="I42" s="307">
        <f>+'Calls for service'!V21</f>
        <v>4524</v>
      </c>
      <c r="J42" s="307">
        <f>+'Calls for service'!V13</f>
        <v>4752</v>
      </c>
      <c r="K42" s="473">
        <f>+'Calls for service'!V29</f>
        <v>4627</v>
      </c>
      <c r="L42" s="478">
        <f>+I42-J42</f>
        <v>-228</v>
      </c>
      <c r="M42" s="270">
        <f>+I42-K42</f>
        <v>-103</v>
      </c>
      <c r="N42" s="231"/>
    </row>
    <row r="43" spans="1:14" x14ac:dyDescent="0.2">
      <c r="A43" s="226"/>
      <c r="B43" s="269" t="s">
        <v>53</v>
      </c>
      <c r="C43" s="307">
        <f>+'Calls for service'!B4</f>
        <v>305</v>
      </c>
      <c r="D43" s="307">
        <f>+'Calls for service'!B12</f>
        <v>344</v>
      </c>
      <c r="E43" s="266">
        <f>+'Calls for service'!B28</f>
        <v>294.15342465753423</v>
      </c>
      <c r="F43" s="307">
        <f>+'Calls for service'!L4</f>
        <v>1234</v>
      </c>
      <c r="G43" s="307">
        <f>+'Calls for service'!L12</f>
        <v>1167</v>
      </c>
      <c r="H43" s="266">
        <f>+'Calls for service'!L28</f>
        <v>1176.6136986301369</v>
      </c>
      <c r="I43" s="307">
        <f>+'Calls for service'!V20</f>
        <v>4743</v>
      </c>
      <c r="J43" s="307">
        <f>+'Calls for service'!V12</f>
        <v>4784</v>
      </c>
      <c r="K43" s="352">
        <f>+'Calls for service'!V28</f>
        <v>4734.666666666667</v>
      </c>
      <c r="L43" s="478">
        <f>+I43-J43</f>
        <v>-41</v>
      </c>
      <c r="M43" s="270">
        <f>+I43-K43</f>
        <v>8.3333333333330302</v>
      </c>
      <c r="N43" s="231"/>
    </row>
    <row r="44" spans="1:14" ht="13.5" thickBot="1" x14ac:dyDescent="0.25">
      <c r="A44" s="19"/>
      <c r="B44" s="271" t="s">
        <v>54</v>
      </c>
      <c r="C44" s="310">
        <f>SUM(C41:C43)</f>
        <v>673</v>
      </c>
      <c r="D44" s="310">
        <f>SUM(C41:C43)</f>
        <v>673</v>
      </c>
      <c r="E44" s="274">
        <f t="shared" ref="E44:K44" si="12">SUM(E41:E43)</f>
        <v>689.62465753424658</v>
      </c>
      <c r="F44" s="311">
        <f t="shared" si="12"/>
        <v>2779</v>
      </c>
      <c r="G44" s="310">
        <f t="shared" si="12"/>
        <v>2680</v>
      </c>
      <c r="H44" s="274">
        <f t="shared" si="12"/>
        <v>2758.4986301369863</v>
      </c>
      <c r="I44" s="311">
        <f t="shared" si="12"/>
        <v>11111</v>
      </c>
      <c r="J44" s="310">
        <f t="shared" si="12"/>
        <v>11398</v>
      </c>
      <c r="K44" s="353">
        <f t="shared" si="12"/>
        <v>11193.666666666668</v>
      </c>
      <c r="L44" s="479">
        <f>+(I44-J44)/J44</f>
        <v>-2.5179856115107913E-2</v>
      </c>
      <c r="M44" s="351">
        <f>+(I44-K44)/K44</f>
        <v>-7.3851284952801766E-3</v>
      </c>
      <c r="N44" s="18"/>
    </row>
    <row r="45" spans="1:14" x14ac:dyDescent="0.2">
      <c r="A45" s="19"/>
      <c r="B45" s="343" t="s">
        <v>75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0</v>
      </c>
      <c r="E45" s="341">
        <f>H45/4</f>
        <v>5.7534246575342458E-2</v>
      </c>
      <c r="F45" s="354">
        <f>'Beat 11'!G41+'Beat 12'!G41+'Beat 13'!G41+'Beat 14'!G41+'Beat 15'!G41+'Beat 16'!G41</f>
        <v>0</v>
      </c>
      <c r="G45" s="298">
        <f>'Previous 28 Days'!B14</f>
        <v>1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1</v>
      </c>
      <c r="J45" s="341">
        <f>'Beat 11'!J41+'Beat 12'!J41+'Beat 13'!J41+'Beat 14'!J41+'Beat 15'!J41+'Beat 16'!J41</f>
        <v>3</v>
      </c>
      <c r="K45" s="473">
        <f>'Beat 11'!K41+'Beat 12'!K41+'Beat 13'!K41+'Beat 14'!K41+'Beat 15'!K41+'Beat 16'!K41</f>
        <v>1</v>
      </c>
      <c r="L45" s="332">
        <f>I45-J45</f>
        <v>-2</v>
      </c>
      <c r="M45" s="333">
        <f>I45-K45</f>
        <v>0</v>
      </c>
      <c r="N45" s="216"/>
    </row>
    <row r="46" spans="1:14" ht="13.5" thickBot="1" x14ac:dyDescent="0.25">
      <c r="A46" s="19"/>
      <c r="B46" s="344" t="s">
        <v>76</v>
      </c>
      <c r="C46" s="299">
        <f>'Beat 11'!F42+'Beat 12'!F42+'Beat 13'!F42+'Beat 14'!F42+'Beat 15'!F42+'Beat 16'!F42</f>
        <v>9</v>
      </c>
      <c r="D46" s="299">
        <f>'Beat 11'!E42+'Beat 12'!E42+'Beat 13'!E42+'Beat 14'!E42+'Beat 15'!E42+'Beat 16'!E42</f>
        <v>7</v>
      </c>
      <c r="E46" s="341">
        <f>H46/4</f>
        <v>9.6082191780821908</v>
      </c>
      <c r="F46" s="481">
        <f>'Beat 11'!G42+'Beat 12'!G42+'Beat 13'!G42+'Beat 14'!G42+'Beat 15'!G42+'Beat 16'!G42</f>
        <v>29</v>
      </c>
      <c r="G46" s="298">
        <f>'Previous 28 Days'!C14</f>
        <v>37</v>
      </c>
      <c r="H46" s="341">
        <f>'Beat 11'!H42+'Beat 12'!H42+'Beat 13'!H42+'Beat 14'!H42+'Beat 15'!H42+'Beat 16'!H42</f>
        <v>38.432876712328763</v>
      </c>
      <c r="I46" s="481">
        <f>'Beat 11'!I42+'Beat 12'!I42+'Beat 13'!I42+'Beat 14'!I42+'Beat 15'!I42+'Beat 16'!I42</f>
        <v>139</v>
      </c>
      <c r="J46" s="341">
        <f>'Beat 11'!J42+'Beat 12'!J42+'Beat 13'!J42+'Beat 14'!J42+'Beat 15'!J42+'Beat 16'!J42</f>
        <v>185</v>
      </c>
      <c r="K46" s="473">
        <f>'Beat 11'!K42+'Beat 12'!K42+'Beat 13'!K42+'Beat 14'!K42+'Beat 15'!K42+'Beat 16'!K42</f>
        <v>148</v>
      </c>
      <c r="L46" s="480">
        <f>I46-J46</f>
        <v>-46</v>
      </c>
      <c r="M46" s="300">
        <f>I46-K46</f>
        <v>-9</v>
      </c>
      <c r="N46" s="27"/>
    </row>
    <row r="47" spans="1:14" ht="7.5" customHeight="1" thickBot="1" x14ac:dyDescent="0.25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">
      <c r="B48" s="291"/>
    </row>
  </sheetData>
  <phoneticPr fontId="17" type="noConversion"/>
  <conditionalFormatting sqref="L32:M32 M47">
    <cfRule type="cellIs" dxfId="111" priority="12" stopIfTrue="1" operator="greaterThan">
      <formula>0</formula>
    </cfRule>
  </conditionalFormatting>
  <conditionalFormatting sqref="C11:C12 C21:C29 C14:C18">
    <cfRule type="cellIs" dxfId="110" priority="17" stopIfTrue="1" operator="greaterThan">
      <formula>E11+P11</formula>
    </cfRule>
    <cfRule type="cellIs" dxfId="109" priority="18" stopIfTrue="1" operator="lessThan">
      <formula>E11-P11</formula>
    </cfRule>
  </conditionalFormatting>
  <conditionalFormatting sqref="F21:F29 F11:F12 F14:F18">
    <cfRule type="cellIs" dxfId="108" priority="19" stopIfTrue="1" operator="greaterThan">
      <formula>H11+Q11</formula>
    </cfRule>
    <cfRule type="cellIs" dxfId="107" priority="20" stopIfTrue="1" operator="lessThan">
      <formula>H11-Q11</formula>
    </cfRule>
  </conditionalFormatting>
  <conditionalFormatting sqref="I21:I29 I11:I12 I14:I18">
    <cfRule type="cellIs" dxfId="106" priority="21" stopIfTrue="1" operator="greaterThan">
      <formula>J11+R11</formula>
    </cfRule>
    <cfRule type="cellIs" dxfId="105" priority="22" stopIfTrue="1" operator="lessThan">
      <formula>J11-R11</formula>
    </cfRule>
  </conditionalFormatting>
  <pageMargins left="0.42" right="0.33" top="0.42" bottom="0.03" header="0.22" footer="0.17"/>
  <pageSetup scale="97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topLeftCell="A7" zoomScaleNormal="100" workbookViewId="0">
      <selection activeCell="C10" sqref="C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77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Data'!F38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Data'!M38</f>
        <v>7.650273224043716E-2</v>
      </c>
      <c r="I12" s="403">
        <f>'YTD 2017'!M3</f>
        <v>0</v>
      </c>
      <c r="J12" s="401">
        <f>'YTD 2016'!M3</f>
        <v>1</v>
      </c>
      <c r="K12" s="401">
        <f>'YTD 2015'!M3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Rapes'!E6</f>
        <v>0</v>
      </c>
      <c r="D13" s="556">
        <f>'New Rapes'!D6</f>
        <v>0</v>
      </c>
      <c r="E13" s="555">
        <f>'New Rapes'!C6</f>
        <v>0</v>
      </c>
      <c r="F13" s="555">
        <f>'New Rapes'!B6</f>
        <v>0</v>
      </c>
      <c r="G13" s="452">
        <f t="shared" si="2"/>
        <v>0</v>
      </c>
      <c r="H13" s="576">
        <v>7.6712328767123292E-2</v>
      </c>
      <c r="I13" s="557">
        <f>'New Rapes'!G6</f>
        <v>0</v>
      </c>
      <c r="J13" s="556">
        <f>'New Rapes'!H6</f>
        <v>0</v>
      </c>
      <c r="K13" s="556">
        <f>'New Rapes'!I6</f>
        <v>0</v>
      </c>
      <c r="L13" s="404">
        <f t="shared" ref="L13" si="3">I13-J13</f>
        <v>0</v>
      </c>
      <c r="M13" s="407">
        <f t="shared" ref="M13" si="4">I13-K13</f>
        <v>0</v>
      </c>
      <c r="N13" s="380"/>
    </row>
    <row r="14" spans="1:14" x14ac:dyDescent="0.25">
      <c r="A14" s="375"/>
      <c r="B14" s="406" t="s">
        <v>29</v>
      </c>
      <c r="C14" s="401">
        <f>'4 weeks ago'!D3</f>
        <v>0</v>
      </c>
      <c r="D14" s="401">
        <f>'3 weeks ago'!D3</f>
        <v>0</v>
      </c>
      <c r="E14" s="402">
        <f>'Previous Week'!D3</f>
        <v>0</v>
      </c>
      <c r="F14" s="402">
        <f>'Last Week'!D3</f>
        <v>0</v>
      </c>
      <c r="G14" s="452">
        <f t="shared" si="2"/>
        <v>0</v>
      </c>
      <c r="H14" s="491">
        <f>'2016 Data'!D38</f>
        <v>0.30601092896174864</v>
      </c>
      <c r="I14" s="403">
        <f>'YTD 2017'!D3</f>
        <v>1</v>
      </c>
      <c r="J14" s="401">
        <f>'YTD 2016'!D3</f>
        <v>2</v>
      </c>
      <c r="K14" s="401">
        <f>'YTD 2015'!D3</f>
        <v>1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</f>
        <v>1</v>
      </c>
      <c r="D15" s="401">
        <f>'3 weeks ago'!Q3</f>
        <v>0</v>
      </c>
      <c r="E15" s="402">
        <f>'Previous Week'!Q3</f>
        <v>0</v>
      </c>
      <c r="F15" s="402">
        <f>'Last Week'!Q3</f>
        <v>0</v>
      </c>
      <c r="G15" s="452">
        <f t="shared" si="2"/>
        <v>1</v>
      </c>
      <c r="H15" s="491">
        <f>'2016 Data'!Q38</f>
        <v>0.22950819672131148</v>
      </c>
      <c r="I15" s="403">
        <f>'YTD 2017'!Q3</f>
        <v>1</v>
      </c>
      <c r="J15" s="401">
        <f>'YTD 2016'!Q3</f>
        <v>1</v>
      </c>
      <c r="K15" s="401">
        <f>'YTD 2015'!Q3</f>
        <v>1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ago'!O3</f>
        <v>0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0</v>
      </c>
      <c r="H16" s="491">
        <f>'2016 Data'!O38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</f>
        <v>0</v>
      </c>
      <c r="D17" s="401">
        <f>'3 weeks ago'!E3</f>
        <v>0</v>
      </c>
      <c r="E17" s="402">
        <f>'Previous Week'!E3</f>
        <v>0</v>
      </c>
      <c r="F17" s="402">
        <f>'Last Week'!E3</f>
        <v>0</v>
      </c>
      <c r="G17" s="452">
        <f t="shared" si="2"/>
        <v>0</v>
      </c>
      <c r="H17" s="491">
        <f>'2016 Data'!E38</f>
        <v>7.650273224043716E-2</v>
      </c>
      <c r="I17" s="403">
        <f>'YTD 2017'!E3</f>
        <v>2</v>
      </c>
      <c r="J17" s="401">
        <f>'YTD 2016'!E3</f>
        <v>1</v>
      </c>
      <c r="K17" s="401">
        <f>'YTD 2015'!E3</f>
        <v>1</v>
      </c>
      <c r="L17" s="404">
        <f t="shared" si="0"/>
        <v>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0</v>
      </c>
      <c r="G18" s="452">
        <f t="shared" si="2"/>
        <v>0</v>
      </c>
      <c r="H18" s="491">
        <f>'2016 Data'!J38</f>
        <v>0.45901639344262296</v>
      </c>
      <c r="I18" s="403">
        <f>'YTD 2017'!J3</f>
        <v>2</v>
      </c>
      <c r="J18" s="401">
        <f>'YTD 2016'!J3</f>
        <v>3</v>
      </c>
      <c r="K18" s="401">
        <f>'YTD 2015'!J3</f>
        <v>0</v>
      </c>
      <c r="L18" s="404">
        <f t="shared" si="0"/>
        <v>-1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5">SUM(C11:C18)</f>
        <v>1</v>
      </c>
      <c r="D19" s="409">
        <f t="shared" si="5"/>
        <v>0</v>
      </c>
      <c r="E19" s="409">
        <f t="shared" si="5"/>
        <v>0</v>
      </c>
      <c r="F19" s="410">
        <f t="shared" si="5"/>
        <v>0</v>
      </c>
      <c r="G19" s="453">
        <f t="shared" si="5"/>
        <v>1</v>
      </c>
      <c r="H19" s="492">
        <f t="shared" si="5"/>
        <v>1.3007560446141178</v>
      </c>
      <c r="I19" s="411">
        <f t="shared" si="5"/>
        <v>6</v>
      </c>
      <c r="J19" s="409">
        <f t="shared" si="5"/>
        <v>8</v>
      </c>
      <c r="K19" s="409">
        <f t="shared" si="5"/>
        <v>3</v>
      </c>
      <c r="L19" s="412">
        <f>(I19-J19)/J19</f>
        <v>-0.25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</f>
        <v>0</v>
      </c>
      <c r="D21" s="401">
        <f>'3 weeks ago'!C3</f>
        <v>1</v>
      </c>
      <c r="E21" s="402">
        <f>'Previous Week'!C3</f>
        <v>0</v>
      </c>
      <c r="F21" s="402">
        <f>'Last Week'!C3</f>
        <v>0</v>
      </c>
      <c r="G21" s="452">
        <f t="shared" ref="G21:G29" si="6">SUM(C21:F21)</f>
        <v>1</v>
      </c>
      <c r="H21" s="491">
        <f>'2016 Data'!C38</f>
        <v>0.38251366120218577</v>
      </c>
      <c r="I21" s="416">
        <f>'YTD 2017'!C3</f>
        <v>2</v>
      </c>
      <c r="J21" s="401">
        <f>'YTD 2016'!C3</f>
        <v>2</v>
      </c>
      <c r="K21" s="401">
        <f>'YTD 2015'!C3</f>
        <v>5</v>
      </c>
      <c r="L21" s="404">
        <f t="shared" ref="L21:L29" si="7">I21-J21</f>
        <v>0</v>
      </c>
      <c r="M21" s="407">
        <f>I21-K21</f>
        <v>-3</v>
      </c>
      <c r="N21" s="380"/>
    </row>
    <row r="22" spans="1:14" x14ac:dyDescent="0.25">
      <c r="A22" s="375"/>
      <c r="B22" s="417" t="s">
        <v>42</v>
      </c>
      <c r="C22" s="401">
        <f>'4 weeks ago'!N3</f>
        <v>1</v>
      </c>
      <c r="D22" s="401">
        <f>'3 weeks ago'!N3</f>
        <v>0</v>
      </c>
      <c r="E22" s="402">
        <f>'Previous Week'!N3</f>
        <v>0</v>
      </c>
      <c r="F22" s="402">
        <f>'Last Week'!N3</f>
        <v>0</v>
      </c>
      <c r="G22" s="452">
        <f t="shared" si="6"/>
        <v>1</v>
      </c>
      <c r="H22" s="491">
        <f>'2016 Data'!N38</f>
        <v>1.0710382513661203</v>
      </c>
      <c r="I22" s="418">
        <f>'YTD 2017'!N3</f>
        <v>6</v>
      </c>
      <c r="J22" s="401">
        <f>'YTD 2016'!N3</f>
        <v>5</v>
      </c>
      <c r="K22" s="401">
        <f>'YTD 2015'!N3</f>
        <v>8</v>
      </c>
      <c r="L22" s="404">
        <f t="shared" si="7"/>
        <v>1</v>
      </c>
      <c r="M22" s="407">
        <f t="shared" ref="M22:M29" si="8">I22-K22</f>
        <v>-2</v>
      </c>
      <c r="N22" s="380"/>
    </row>
    <row r="23" spans="1:14" x14ac:dyDescent="0.25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Data'!L38</f>
        <v>7.650273224043716E-2</v>
      </c>
      <c r="I23" s="418">
        <f>'YTD 2017'!L3</f>
        <v>0</v>
      </c>
      <c r="J23" s="401">
        <f>'YTD 2016'!L3</f>
        <v>1</v>
      </c>
      <c r="K23" s="401">
        <f>'YTD 2015'!L3</f>
        <v>0</v>
      </c>
      <c r="L23" s="404">
        <f t="shared" si="7"/>
        <v>-1</v>
      </c>
      <c r="M23" s="407">
        <f t="shared" si="8"/>
        <v>0</v>
      </c>
      <c r="N23" s="380"/>
    </row>
    <row r="24" spans="1:14" x14ac:dyDescent="0.25">
      <c r="A24" s="375"/>
      <c r="B24" s="417" t="s">
        <v>33</v>
      </c>
      <c r="C24" s="401">
        <f>'4 weeks ago'!P3</f>
        <v>0</v>
      </c>
      <c r="D24" s="401">
        <f>'3 weeks ago'!P3</f>
        <v>0</v>
      </c>
      <c r="E24" s="402">
        <f>'Previous Week'!P3</f>
        <v>0</v>
      </c>
      <c r="F24" s="402">
        <f>'Last Week'!P3</f>
        <v>0</v>
      </c>
      <c r="G24" s="452">
        <f t="shared" si="6"/>
        <v>0</v>
      </c>
      <c r="H24" s="491">
        <f>'2016 Data'!P38</f>
        <v>0.22950819672131148</v>
      </c>
      <c r="I24" s="418">
        <f>'YTD 2017'!P3</f>
        <v>1</v>
      </c>
      <c r="J24" s="401">
        <f>'YTD 2016'!P3</f>
        <v>0</v>
      </c>
      <c r="K24" s="401">
        <f>'YTD 2015'!P3</f>
        <v>1</v>
      </c>
      <c r="L24" s="404">
        <f t="shared" si="7"/>
        <v>1</v>
      </c>
      <c r="M24" s="407">
        <f t="shared" si="8"/>
        <v>0</v>
      </c>
      <c r="N24" s="380"/>
    </row>
    <row r="25" spans="1:14" x14ac:dyDescent="0.25">
      <c r="A25" s="375"/>
      <c r="B25" s="406" t="s">
        <v>7</v>
      </c>
      <c r="C25" s="401">
        <f>'4 weeks ago'!G3</f>
        <v>1</v>
      </c>
      <c r="D25" s="401">
        <f>'3 weeks ago'!G3</f>
        <v>0</v>
      </c>
      <c r="E25" s="402">
        <f>'Previous Week'!G3</f>
        <v>0</v>
      </c>
      <c r="F25" s="402">
        <f>'Last Week'!G3</f>
        <v>2</v>
      </c>
      <c r="G25" s="452">
        <f t="shared" si="6"/>
        <v>3</v>
      </c>
      <c r="H25" s="491">
        <f>'2016 Data'!G38</f>
        <v>3.5191256830601092</v>
      </c>
      <c r="I25" s="418">
        <f>'YTD 2017'!G3</f>
        <v>16</v>
      </c>
      <c r="J25" s="401">
        <f>'YTD 2016'!G3</f>
        <v>13</v>
      </c>
      <c r="K25" s="401">
        <f>'YTD 2015'!G3</f>
        <v>10</v>
      </c>
      <c r="L25" s="404">
        <f t="shared" si="7"/>
        <v>3</v>
      </c>
      <c r="M25" s="407">
        <f t="shared" si="8"/>
        <v>6</v>
      </c>
      <c r="N25" s="380"/>
    </row>
    <row r="26" spans="1:14" x14ac:dyDescent="0.25">
      <c r="A26" s="375"/>
      <c r="B26" s="406" t="s">
        <v>68</v>
      </c>
      <c r="C26" s="401">
        <f>'4 weeks ago'!I3</f>
        <v>0</v>
      </c>
      <c r="D26" s="401">
        <f>'3 weeks ago'!I3</f>
        <v>0</v>
      </c>
      <c r="E26" s="402">
        <f>'Previous Week'!I3</f>
        <v>0</v>
      </c>
      <c r="F26" s="402">
        <f>'Last Week'!I3</f>
        <v>0</v>
      </c>
      <c r="G26" s="452">
        <f t="shared" si="6"/>
        <v>0</v>
      </c>
      <c r="H26" s="491">
        <f>'2016 Data'!I38</f>
        <v>1.9125683060109291</v>
      </c>
      <c r="I26" s="418">
        <f>'YTD 2017'!I3</f>
        <v>9</v>
      </c>
      <c r="J26" s="401">
        <f>'YTD 2016'!I3</f>
        <v>8</v>
      </c>
      <c r="K26" s="401">
        <f>'YTD 2015'!I3</f>
        <v>8</v>
      </c>
      <c r="L26" s="404">
        <f t="shared" si="7"/>
        <v>1</v>
      </c>
      <c r="M26" s="407">
        <f t="shared" si="8"/>
        <v>1</v>
      </c>
      <c r="N26" s="380"/>
    </row>
    <row r="27" spans="1:14" x14ac:dyDescent="0.25">
      <c r="A27" s="375"/>
      <c r="B27" s="406" t="s">
        <v>67</v>
      </c>
      <c r="C27" s="401">
        <f>'4 weeks ago'!H3</f>
        <v>1</v>
      </c>
      <c r="D27" s="401">
        <f>'3 weeks ago'!H3</f>
        <v>1</v>
      </c>
      <c r="E27" s="402">
        <f>'Previous Week'!H3</f>
        <v>1</v>
      </c>
      <c r="F27" s="402">
        <f>'Last Week'!H3</f>
        <v>1</v>
      </c>
      <c r="G27" s="452">
        <f t="shared" si="6"/>
        <v>4</v>
      </c>
      <c r="H27" s="491">
        <f>'2016 Data'!H38</f>
        <v>3.2896174863387979</v>
      </c>
      <c r="I27" s="418">
        <f>'YTD 2017'!H3</f>
        <v>21</v>
      </c>
      <c r="J27" s="401">
        <f>'YTD 2016'!H3</f>
        <v>14</v>
      </c>
      <c r="K27" s="401">
        <f>'YTD 2015'!H3</f>
        <v>19</v>
      </c>
      <c r="L27" s="404">
        <f>I27-J27</f>
        <v>7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ago'!K3</f>
        <v>0</v>
      </c>
      <c r="D28" s="401">
        <f>'3 weeks ago'!K3</f>
        <v>0</v>
      </c>
      <c r="E28" s="402">
        <f>'Previous Week'!K3</f>
        <v>0</v>
      </c>
      <c r="F28" s="402">
        <f>'Last Week'!K3</f>
        <v>0</v>
      </c>
      <c r="G28" s="452">
        <f t="shared" si="6"/>
        <v>0</v>
      </c>
      <c r="H28" s="491">
        <f>'2016 Data'!K38</f>
        <v>0.68852459016393441</v>
      </c>
      <c r="I28" s="418">
        <f>'YTD 2017'!K3</f>
        <v>1</v>
      </c>
      <c r="J28" s="401">
        <f>'YTD 2016'!K3</f>
        <v>2</v>
      </c>
      <c r="K28" s="401">
        <f>'YTD 2015'!K3</f>
        <v>2</v>
      </c>
      <c r="L28" s="404">
        <f t="shared" si="7"/>
        <v>-1</v>
      </c>
      <c r="M28" s="407">
        <f t="shared" si="8"/>
        <v>-1</v>
      </c>
      <c r="N28" s="380"/>
    </row>
    <row r="29" spans="1:14" x14ac:dyDescent="0.25">
      <c r="A29" s="375"/>
      <c r="B29" s="406" t="s">
        <v>8</v>
      </c>
      <c r="C29" s="401">
        <f>'4 weeks ago'!B3</f>
        <v>2</v>
      </c>
      <c r="D29" s="401">
        <f>'3 weeks ago'!B3</f>
        <v>1</v>
      </c>
      <c r="E29" s="402">
        <f>'Previous Week'!B3</f>
        <v>1</v>
      </c>
      <c r="F29" s="402">
        <f>'Last Week'!B3</f>
        <v>0</v>
      </c>
      <c r="G29" s="452">
        <f t="shared" si="6"/>
        <v>4</v>
      </c>
      <c r="H29" s="491">
        <f>'2016 Data'!B38</f>
        <v>2.2185792349726778</v>
      </c>
      <c r="I29" s="418">
        <f>'YTD 2017'!B3</f>
        <v>12</v>
      </c>
      <c r="J29" s="401">
        <f>'YTD 2016'!B3</f>
        <v>9</v>
      </c>
      <c r="K29" s="401">
        <f>'YTD 2015'!B3</f>
        <v>10</v>
      </c>
      <c r="L29" s="404">
        <f t="shared" si="7"/>
        <v>3</v>
      </c>
      <c r="M29" s="407">
        <f t="shared" si="8"/>
        <v>2</v>
      </c>
      <c r="N29" s="380"/>
    </row>
    <row r="30" spans="1:14" x14ac:dyDescent="0.25">
      <c r="A30" s="375"/>
      <c r="B30" s="419" t="s">
        <v>5</v>
      </c>
      <c r="C30" s="420">
        <f t="shared" ref="C30:G30" si="9">SUM(C21:C29)</f>
        <v>5</v>
      </c>
      <c r="D30" s="420">
        <f t="shared" si="9"/>
        <v>3</v>
      </c>
      <c r="E30" s="420">
        <f t="shared" si="9"/>
        <v>2</v>
      </c>
      <c r="F30" s="421">
        <f t="shared" si="9"/>
        <v>3</v>
      </c>
      <c r="G30" s="455">
        <f t="shared" si="9"/>
        <v>13</v>
      </c>
      <c r="H30" s="494">
        <f t="shared" ref="H30:K30" si="10">SUM(H21:H29)</f>
        <v>13.387978142076504</v>
      </c>
      <c r="I30" s="422">
        <f t="shared" si="10"/>
        <v>68</v>
      </c>
      <c r="J30" s="420">
        <f t="shared" si="10"/>
        <v>54</v>
      </c>
      <c r="K30" s="420">
        <f t="shared" si="10"/>
        <v>63</v>
      </c>
      <c r="L30" s="412">
        <f>(I30-J30)/J30</f>
        <v>0.25925925925925924</v>
      </c>
      <c r="M30" s="413">
        <f>(I30-K30)/K30</f>
        <v>7.9365079365079361E-2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1">C30+C19</f>
        <v>6</v>
      </c>
      <c r="D31" s="409">
        <f t="shared" si="11"/>
        <v>3</v>
      </c>
      <c r="E31" s="409">
        <f t="shared" si="11"/>
        <v>2</v>
      </c>
      <c r="F31" s="410">
        <f t="shared" si="11"/>
        <v>3</v>
      </c>
      <c r="G31" s="453">
        <f t="shared" si="11"/>
        <v>14</v>
      </c>
      <c r="H31" s="492">
        <f t="shared" si="11"/>
        <v>14.688734186690622</v>
      </c>
      <c r="I31" s="411">
        <f t="shared" si="11"/>
        <v>74</v>
      </c>
      <c r="J31" s="409">
        <f t="shared" si="11"/>
        <v>62</v>
      </c>
      <c r="K31" s="409">
        <f t="shared" si="11"/>
        <v>66</v>
      </c>
      <c r="L31" s="412">
        <f>(I31-J31)/J31</f>
        <v>0.19354838709677419</v>
      </c>
      <c r="M31" s="413">
        <f>(I31-K31)/K31</f>
        <v>0.12121212121212122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Data'!R38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</f>
        <v>0</v>
      </c>
      <c r="D42" s="447">
        <f>'3 weeks ago'!T3</f>
        <v>1</v>
      </c>
      <c r="E42" s="446">
        <f>'Previous Week'!T3</f>
        <v>0</v>
      </c>
      <c r="F42" s="460">
        <f>'Last Week'!T3</f>
        <v>0</v>
      </c>
      <c r="G42" s="452">
        <f t="shared" si="12"/>
        <v>1</v>
      </c>
      <c r="H42" s="502">
        <f>'2016 Data'!S38</f>
        <v>1.6109589041095891</v>
      </c>
      <c r="I42" s="448">
        <f>'YTD 2017'!T3</f>
        <v>7</v>
      </c>
      <c r="J42" s="446">
        <f>'YTD 2016'!T3</f>
        <v>5</v>
      </c>
      <c r="K42" s="446">
        <f>'YTD 2015'!T3</f>
        <v>13</v>
      </c>
      <c r="L42" s="412">
        <f>(I42-J42)/J42</f>
        <v>0.4</v>
      </c>
      <c r="M42" s="413">
        <f>(I42-K42)/K42</f>
        <v>-0.46153846153846156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4" priority="1" stopIfTrue="1" operator="greaterThan">
      <formula>0</formula>
    </cfRule>
  </conditionalFormatting>
  <conditionalFormatting sqref="L32:M32">
    <cfRule type="cellIs" dxfId="10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S43"/>
  <sheetViews>
    <sheetView zoomScaleNormal="100" workbookViewId="0">
      <selection activeCell="G7" sqref="G7"/>
    </sheetView>
  </sheetViews>
  <sheetFormatPr defaultColWidth="9.140625" defaultRowHeight="12.75" x14ac:dyDescent="0.2"/>
  <cols>
    <col min="1" max="1" width="17.28515625" style="113" bestFit="1" customWidth="1"/>
    <col min="2" max="2" width="7" style="112" bestFit="1" customWidth="1"/>
    <col min="3" max="3" width="5.7109375" style="112" customWidth="1"/>
    <col min="4" max="4" width="6.5703125" style="112" bestFit="1" customWidth="1"/>
    <col min="5" max="5" width="5.5703125" style="112" bestFit="1" customWidth="1"/>
    <col min="6" max="7" width="5.28515625" style="112" customWidth="1"/>
    <col min="8" max="8" width="5.7109375" style="112" bestFit="1" customWidth="1"/>
    <col min="9" max="9" width="6.42578125" style="112" customWidth="1"/>
    <col min="10" max="10" width="4.28515625" style="113" customWidth="1"/>
    <col min="11" max="11" width="18.5703125" style="113" bestFit="1" customWidth="1"/>
    <col min="12" max="16" width="6.5703125" style="113" bestFit="1" customWidth="1"/>
    <col min="17" max="17" width="6.5703125" style="113" customWidth="1"/>
    <col min="18" max="18" width="7" style="113" customWidth="1"/>
    <col min="19" max="19" width="7.5703125" style="113" bestFit="1" customWidth="1"/>
    <col min="20" max="20" width="9.140625" style="113"/>
    <col min="21" max="21" width="15.7109375" style="113" bestFit="1" customWidth="1"/>
    <col min="22" max="27" width="7.5703125" style="112" customWidth="1"/>
    <col min="28" max="28" width="7" style="112" bestFit="1" customWidth="1"/>
    <col min="29" max="29" width="7.5703125" style="112" bestFit="1" customWidth="1"/>
    <col min="30" max="31" width="9.140625" style="113"/>
    <col min="32" max="32" width="12" style="113" customWidth="1"/>
    <col min="33" max="37" width="9.140625" style="113"/>
    <col min="38" max="38" width="10.28515625" style="113" customWidth="1"/>
    <col min="39" max="16384" width="9.140625" style="113"/>
  </cols>
  <sheetData>
    <row r="1" spans="1:43" x14ac:dyDescent="0.2">
      <c r="A1" s="113" t="s">
        <v>27</v>
      </c>
      <c r="K1" s="113" t="s">
        <v>48</v>
      </c>
      <c r="U1" s="113">
        <v>2015</v>
      </c>
      <c r="V1" s="112" t="s">
        <v>4</v>
      </c>
      <c r="AG1" s="125"/>
      <c r="AH1" s="125"/>
      <c r="AI1" s="112"/>
      <c r="AJ1" s="112"/>
      <c r="AK1" s="112"/>
      <c r="AL1" s="112"/>
      <c r="AM1" s="112"/>
    </row>
    <row r="2" spans="1:43" x14ac:dyDescent="0.2">
      <c r="A2" s="126" t="s">
        <v>45</v>
      </c>
      <c r="B2" s="126" t="s">
        <v>22</v>
      </c>
      <c r="C2" s="128"/>
      <c r="D2" s="128"/>
      <c r="E2" s="128"/>
      <c r="F2" s="128"/>
      <c r="G2" s="584"/>
      <c r="H2" s="128"/>
      <c r="I2" s="129"/>
      <c r="K2" s="126" t="s">
        <v>45</v>
      </c>
      <c r="L2" s="126" t="s">
        <v>22</v>
      </c>
      <c r="M2" s="128"/>
      <c r="N2" s="128"/>
      <c r="O2" s="128"/>
      <c r="P2" s="128"/>
      <c r="Q2" s="584"/>
      <c r="R2" s="128"/>
      <c r="S2" s="129"/>
      <c r="U2" s="126" t="s">
        <v>45</v>
      </c>
      <c r="V2" s="180" t="s">
        <v>22</v>
      </c>
      <c r="W2" s="181"/>
      <c r="X2" s="181"/>
      <c r="Y2" s="181"/>
      <c r="Z2" s="181"/>
      <c r="AA2" s="590"/>
      <c r="AB2" s="182"/>
      <c r="AC2" s="171"/>
      <c r="AF2" s="126"/>
      <c r="AG2" s="127"/>
      <c r="AH2" s="114"/>
      <c r="AI2" s="114"/>
      <c r="AJ2" s="114"/>
      <c r="AK2" s="114"/>
      <c r="AL2" s="114"/>
      <c r="AM2" s="115"/>
    </row>
    <row r="3" spans="1:43" ht="13.5" thickBot="1" x14ac:dyDescent="0.25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585">
        <v>6</v>
      </c>
      <c r="H3" s="132"/>
      <c r="I3" s="133" t="s">
        <v>21</v>
      </c>
      <c r="K3" s="126" t="s">
        <v>46</v>
      </c>
      <c r="L3" s="130">
        <v>1</v>
      </c>
      <c r="M3" s="131">
        <v>2</v>
      </c>
      <c r="N3" s="131">
        <v>3</v>
      </c>
      <c r="O3" s="131">
        <v>4</v>
      </c>
      <c r="P3" s="131">
        <v>5</v>
      </c>
      <c r="Q3" s="585">
        <v>6</v>
      </c>
      <c r="R3" s="132"/>
      <c r="S3" s="133" t="s">
        <v>21</v>
      </c>
      <c r="U3" s="126" t="s">
        <v>46</v>
      </c>
      <c r="V3" s="116">
        <v>1</v>
      </c>
      <c r="W3" s="117">
        <v>2</v>
      </c>
      <c r="X3" s="117">
        <v>3</v>
      </c>
      <c r="Y3" s="117">
        <v>4</v>
      </c>
      <c r="Z3" s="117">
        <v>5</v>
      </c>
      <c r="AA3" s="591">
        <v>6</v>
      </c>
      <c r="AB3" s="183"/>
      <c r="AC3" s="184" t="s">
        <v>21</v>
      </c>
      <c r="AF3" s="126"/>
      <c r="AG3" s="120"/>
      <c r="AH3" s="117"/>
      <c r="AI3" s="117"/>
      <c r="AJ3" s="117"/>
      <c r="AK3" s="117"/>
      <c r="AL3" s="118"/>
      <c r="AM3" s="119"/>
    </row>
    <row r="4" spans="1:43" x14ac:dyDescent="0.2">
      <c r="A4" s="134" t="s">
        <v>47</v>
      </c>
      <c r="B4" s="191">
        <v>305</v>
      </c>
      <c r="C4" s="192">
        <v>230</v>
      </c>
      <c r="D4" s="192">
        <v>307</v>
      </c>
      <c r="E4" s="192">
        <v>233</v>
      </c>
      <c r="F4" s="192">
        <v>242</v>
      </c>
      <c r="G4" s="586">
        <v>93</v>
      </c>
      <c r="H4" s="198"/>
      <c r="I4" s="185">
        <f>SUM(B4:G4)</f>
        <v>1410</v>
      </c>
      <c r="K4" s="134" t="s">
        <v>47</v>
      </c>
      <c r="L4" s="202">
        <v>1234</v>
      </c>
      <c r="M4" s="203">
        <v>907</v>
      </c>
      <c r="N4" s="203">
        <v>1156</v>
      </c>
      <c r="O4" s="203">
        <v>991</v>
      </c>
      <c r="P4" s="203">
        <v>849</v>
      </c>
      <c r="Q4" s="588">
        <v>380</v>
      </c>
      <c r="R4" s="198"/>
      <c r="S4" s="185">
        <f>SUM(L4:Q4)</f>
        <v>5517</v>
      </c>
      <c r="U4" s="178" t="s">
        <v>47</v>
      </c>
      <c r="V4" s="191">
        <f>4618+59</f>
        <v>4677</v>
      </c>
      <c r="W4" s="192">
        <v>4158</v>
      </c>
      <c r="X4" s="192">
        <v>4771</v>
      </c>
      <c r="Y4" s="192">
        <v>4078</v>
      </c>
      <c r="Z4" s="192">
        <v>3596</v>
      </c>
      <c r="AA4" s="586">
        <v>1496</v>
      </c>
      <c r="AB4" s="198"/>
      <c r="AC4" s="185">
        <f>SUM(V4:AA4)</f>
        <v>22776</v>
      </c>
      <c r="AF4" s="134"/>
      <c r="AG4" s="135"/>
      <c r="AH4" s="135"/>
      <c r="AI4" s="135"/>
      <c r="AJ4" s="135"/>
      <c r="AK4" s="135"/>
      <c r="AL4" s="136"/>
      <c r="AM4" s="137"/>
    </row>
    <row r="5" spans="1:43" x14ac:dyDescent="0.2">
      <c r="A5" s="121" t="s">
        <v>44</v>
      </c>
      <c r="B5" s="193">
        <v>265</v>
      </c>
      <c r="C5" s="194">
        <v>211</v>
      </c>
      <c r="D5" s="194">
        <v>226</v>
      </c>
      <c r="E5" s="194">
        <v>228</v>
      </c>
      <c r="F5" s="201">
        <v>185</v>
      </c>
      <c r="G5" s="201">
        <v>90</v>
      </c>
      <c r="H5" s="199"/>
      <c r="I5" s="185">
        <f t="shared" ref="I5:I6" si="0">SUM(B5:G5)</f>
        <v>1205</v>
      </c>
      <c r="K5" s="121" t="s">
        <v>44</v>
      </c>
      <c r="L5" s="204">
        <v>1123</v>
      </c>
      <c r="M5" s="201">
        <v>818</v>
      </c>
      <c r="N5" s="201">
        <v>1028</v>
      </c>
      <c r="O5" s="201">
        <v>890</v>
      </c>
      <c r="P5" s="201">
        <v>750</v>
      </c>
      <c r="Q5" s="201">
        <v>387</v>
      </c>
      <c r="R5" s="199"/>
      <c r="S5" s="185">
        <f t="shared" ref="S5:S6" si="1">SUM(L5:Q5)</f>
        <v>4996</v>
      </c>
      <c r="U5" s="124" t="s">
        <v>44</v>
      </c>
      <c r="V5" s="204">
        <f>4561+44</f>
        <v>4605</v>
      </c>
      <c r="W5" s="201">
        <v>3904</v>
      </c>
      <c r="X5" s="201">
        <v>4460</v>
      </c>
      <c r="Y5" s="194">
        <v>4231</v>
      </c>
      <c r="Z5" s="201">
        <v>3134</v>
      </c>
      <c r="AA5" s="201">
        <v>1475</v>
      </c>
      <c r="AB5" s="199"/>
      <c r="AC5" s="185">
        <f>SUM(V5:AB5)</f>
        <v>21809</v>
      </c>
      <c r="AF5" s="121"/>
      <c r="AG5" s="135"/>
      <c r="AH5" s="135"/>
      <c r="AI5" s="135"/>
      <c r="AJ5" s="135"/>
      <c r="AK5" s="135"/>
      <c r="AL5" s="136"/>
      <c r="AM5" s="137"/>
    </row>
    <row r="6" spans="1:43" x14ac:dyDescent="0.2">
      <c r="A6" s="122" t="s">
        <v>51</v>
      </c>
      <c r="B6" s="195">
        <v>103</v>
      </c>
      <c r="C6" s="196">
        <v>109</v>
      </c>
      <c r="D6" s="196">
        <v>157</v>
      </c>
      <c r="E6" s="197">
        <v>81</v>
      </c>
      <c r="F6" s="196">
        <v>56</v>
      </c>
      <c r="G6" s="196">
        <v>25</v>
      </c>
      <c r="H6" s="200"/>
      <c r="I6" s="185">
        <f t="shared" si="0"/>
        <v>531</v>
      </c>
      <c r="K6" s="122" t="s">
        <v>51</v>
      </c>
      <c r="L6" s="205">
        <v>422</v>
      </c>
      <c r="M6" s="197">
        <v>432</v>
      </c>
      <c r="N6" s="197">
        <v>475</v>
      </c>
      <c r="O6" s="197">
        <v>327</v>
      </c>
      <c r="P6" s="197">
        <v>282</v>
      </c>
      <c r="Q6" s="197">
        <v>110</v>
      </c>
      <c r="R6" s="200"/>
      <c r="S6" s="185">
        <f t="shared" si="1"/>
        <v>2048</v>
      </c>
      <c r="U6" s="179" t="s">
        <v>51</v>
      </c>
      <c r="V6" s="195">
        <f>1766+24</f>
        <v>1790</v>
      </c>
      <c r="W6" s="197">
        <v>1928</v>
      </c>
      <c r="X6" s="196">
        <v>2036</v>
      </c>
      <c r="Y6" s="197">
        <v>1554</v>
      </c>
      <c r="Z6" s="196">
        <v>1303</v>
      </c>
      <c r="AA6" s="196">
        <v>477</v>
      </c>
      <c r="AB6" s="200"/>
      <c r="AC6" s="186">
        <f>SUM(V6:AA6)</f>
        <v>9088</v>
      </c>
      <c r="AF6" s="122"/>
      <c r="AG6" s="138"/>
      <c r="AH6" s="139"/>
      <c r="AI6" s="139"/>
      <c r="AJ6" s="139"/>
      <c r="AK6" s="139"/>
      <c r="AL6" s="140"/>
      <c r="AM6" s="141"/>
    </row>
    <row r="7" spans="1:43" x14ac:dyDescent="0.2">
      <c r="A7" s="77" t="s">
        <v>43</v>
      </c>
      <c r="B7" s="143">
        <f t="shared" ref="B7:G7" si="2">SUM(B4:B6)</f>
        <v>673</v>
      </c>
      <c r="C7" s="143">
        <f t="shared" si="2"/>
        <v>550</v>
      </c>
      <c r="D7" s="143">
        <f t="shared" si="2"/>
        <v>690</v>
      </c>
      <c r="E7" s="143">
        <f t="shared" si="2"/>
        <v>542</v>
      </c>
      <c r="F7" s="143">
        <f t="shared" si="2"/>
        <v>483</v>
      </c>
      <c r="G7" s="143">
        <f t="shared" si="2"/>
        <v>208</v>
      </c>
      <c r="H7" s="146"/>
      <c r="I7" s="142">
        <f>SUM(I4:I6)</f>
        <v>3146</v>
      </c>
      <c r="K7" s="77" t="s">
        <v>43</v>
      </c>
      <c r="L7" s="143">
        <f t="shared" ref="L7:Q7" si="3">SUM(L4:L6)</f>
        <v>2779</v>
      </c>
      <c r="M7" s="143">
        <f t="shared" si="3"/>
        <v>2157</v>
      </c>
      <c r="N7" s="143">
        <f t="shared" si="3"/>
        <v>2659</v>
      </c>
      <c r="O7" s="143">
        <f t="shared" si="3"/>
        <v>2208</v>
      </c>
      <c r="P7" s="143">
        <f t="shared" si="3"/>
        <v>1881</v>
      </c>
      <c r="Q7" s="143">
        <f t="shared" si="3"/>
        <v>877</v>
      </c>
      <c r="R7" s="146"/>
      <c r="S7" s="142">
        <f>SUM(S4:S6)</f>
        <v>12561</v>
      </c>
      <c r="U7" s="77" t="s">
        <v>43</v>
      </c>
      <c r="V7" s="143">
        <f t="shared" ref="V7:AA7" si="4">SUM(V4:V6)</f>
        <v>11072</v>
      </c>
      <c r="W7" s="143">
        <f t="shared" si="4"/>
        <v>9990</v>
      </c>
      <c r="X7" s="143">
        <f t="shared" si="4"/>
        <v>11267</v>
      </c>
      <c r="Y7" s="143">
        <f t="shared" si="4"/>
        <v>9863</v>
      </c>
      <c r="Z7" s="143">
        <f t="shared" si="4"/>
        <v>8033</v>
      </c>
      <c r="AA7" s="143">
        <f t="shared" si="4"/>
        <v>3448</v>
      </c>
      <c r="AB7" s="146"/>
      <c r="AC7" s="142">
        <f>SUM(AC4:AC6)</f>
        <v>53673</v>
      </c>
      <c r="AF7" s="77"/>
      <c r="AG7" s="123"/>
      <c r="AH7" s="123"/>
      <c r="AI7" s="123"/>
      <c r="AJ7" s="123"/>
      <c r="AK7" s="123"/>
      <c r="AL7" s="144"/>
      <c r="AM7" s="142"/>
    </row>
    <row r="9" spans="1:43" x14ac:dyDescent="0.2">
      <c r="A9" s="113" t="s">
        <v>28</v>
      </c>
      <c r="K9" s="113" t="s">
        <v>49</v>
      </c>
      <c r="U9" s="113">
        <v>2016</v>
      </c>
      <c r="V9" s="112" t="s">
        <v>4</v>
      </c>
    </row>
    <row r="10" spans="1:43" x14ac:dyDescent="0.2">
      <c r="A10" s="126" t="s">
        <v>45</v>
      </c>
      <c r="B10" s="126" t="s">
        <v>22</v>
      </c>
      <c r="C10" s="128"/>
      <c r="D10" s="128"/>
      <c r="E10" s="128"/>
      <c r="F10" s="128"/>
      <c r="G10" s="584"/>
      <c r="H10" s="128"/>
      <c r="I10" s="129"/>
      <c r="K10" s="126" t="s">
        <v>45</v>
      </c>
      <c r="L10" s="126" t="s">
        <v>22</v>
      </c>
      <c r="M10" s="128"/>
      <c r="N10" s="128"/>
      <c r="O10" s="128"/>
      <c r="P10" s="128"/>
      <c r="Q10" s="584"/>
      <c r="R10" s="128"/>
      <c r="S10" s="129"/>
      <c r="U10" s="126" t="s">
        <v>45</v>
      </c>
      <c r="V10" s="652" t="s">
        <v>22</v>
      </c>
      <c r="W10" s="653"/>
      <c r="X10" s="653"/>
      <c r="Y10" s="653"/>
      <c r="Z10" s="653"/>
      <c r="AA10" s="654"/>
      <c r="AB10" s="653"/>
      <c r="AC10" s="655"/>
    </row>
    <row r="11" spans="1:43" ht="13.5" thickBot="1" x14ac:dyDescent="0.25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585">
        <v>6</v>
      </c>
      <c r="H11" s="132"/>
      <c r="I11" s="133" t="s">
        <v>21</v>
      </c>
      <c r="K11" s="126" t="s">
        <v>46</v>
      </c>
      <c r="L11" s="130">
        <v>1</v>
      </c>
      <c r="M11" s="131">
        <v>2</v>
      </c>
      <c r="N11" s="131">
        <v>3</v>
      </c>
      <c r="O11" s="131">
        <v>4</v>
      </c>
      <c r="P11" s="131">
        <v>5</v>
      </c>
      <c r="Q11" s="585">
        <v>6</v>
      </c>
      <c r="R11" s="132"/>
      <c r="S11" s="133" t="s">
        <v>21</v>
      </c>
      <c r="U11" s="126" t="s">
        <v>46</v>
      </c>
      <c r="V11" s="187">
        <v>1</v>
      </c>
      <c r="W11" s="188">
        <v>2</v>
      </c>
      <c r="X11" s="188">
        <v>3</v>
      </c>
      <c r="Y11" s="188">
        <v>4</v>
      </c>
      <c r="Z11" s="188">
        <v>5</v>
      </c>
      <c r="AA11" s="188">
        <v>6</v>
      </c>
      <c r="AB11" s="189"/>
      <c r="AC11" s="190" t="s">
        <v>21</v>
      </c>
    </row>
    <row r="12" spans="1:43" x14ac:dyDescent="0.2">
      <c r="A12" s="134" t="s">
        <v>47</v>
      </c>
      <c r="B12" s="191">
        <v>344</v>
      </c>
      <c r="C12" s="192">
        <v>251</v>
      </c>
      <c r="D12" s="192">
        <v>267</v>
      </c>
      <c r="E12" s="192">
        <v>279</v>
      </c>
      <c r="F12" s="192">
        <v>205</v>
      </c>
      <c r="G12" s="586">
        <v>113</v>
      </c>
      <c r="H12" s="198"/>
      <c r="I12" s="185">
        <f t="shared" ref="I12:I14" si="5">SUM(B12:G12)</f>
        <v>1459</v>
      </c>
      <c r="K12" s="134" t="s">
        <v>47</v>
      </c>
      <c r="L12" s="202">
        <v>1167</v>
      </c>
      <c r="M12" s="203">
        <v>936</v>
      </c>
      <c r="N12" s="203">
        <v>1030</v>
      </c>
      <c r="O12" s="203">
        <v>898</v>
      </c>
      <c r="P12" s="203">
        <v>815</v>
      </c>
      <c r="Q12" s="588">
        <v>360</v>
      </c>
      <c r="R12" s="198"/>
      <c r="S12" s="185">
        <f>SUM(L12:Q12)</f>
        <v>5206</v>
      </c>
      <c r="U12" s="134" t="s">
        <v>47</v>
      </c>
      <c r="V12" s="202">
        <f>4731+53</f>
        <v>4784</v>
      </c>
      <c r="W12" s="192">
        <v>3951</v>
      </c>
      <c r="X12" s="192">
        <v>4746</v>
      </c>
      <c r="Y12" s="192">
        <v>3866</v>
      </c>
      <c r="Z12" s="203">
        <v>3750</v>
      </c>
      <c r="AA12" s="588">
        <v>1618</v>
      </c>
      <c r="AB12" s="198"/>
      <c r="AC12" s="185">
        <f>SUM(V12:AA12)</f>
        <v>22715</v>
      </c>
    </row>
    <row r="13" spans="1:43" x14ac:dyDescent="0.2">
      <c r="A13" s="121" t="s">
        <v>44</v>
      </c>
      <c r="B13" s="193">
        <v>275</v>
      </c>
      <c r="C13" s="194">
        <v>207</v>
      </c>
      <c r="D13" s="194">
        <v>267</v>
      </c>
      <c r="E13" s="194">
        <v>223</v>
      </c>
      <c r="F13" s="201">
        <v>190</v>
      </c>
      <c r="G13" s="201">
        <v>109</v>
      </c>
      <c r="H13" s="199"/>
      <c r="I13" s="185">
        <f t="shared" si="5"/>
        <v>1271</v>
      </c>
      <c r="K13" s="121" t="s">
        <v>44</v>
      </c>
      <c r="L13" s="204">
        <v>1090</v>
      </c>
      <c r="M13" s="201">
        <v>848</v>
      </c>
      <c r="N13" s="201">
        <v>948</v>
      </c>
      <c r="O13" s="201">
        <v>899</v>
      </c>
      <c r="P13" s="201">
        <v>755</v>
      </c>
      <c r="Q13" s="201">
        <v>392</v>
      </c>
      <c r="R13" s="199"/>
      <c r="S13" s="185">
        <f t="shared" ref="S13:S14" si="6">SUM(L13:Q13)</f>
        <v>4932</v>
      </c>
      <c r="U13" s="121" t="s">
        <v>44</v>
      </c>
      <c r="V13" s="204">
        <f>4685+67</f>
        <v>4752</v>
      </c>
      <c r="W13" s="194">
        <v>3660</v>
      </c>
      <c r="X13" s="194">
        <v>4311</v>
      </c>
      <c r="Y13" s="194">
        <v>3993</v>
      </c>
      <c r="Z13" s="194">
        <v>3280</v>
      </c>
      <c r="AA13" s="194">
        <v>1571</v>
      </c>
      <c r="AB13" s="199"/>
      <c r="AC13" s="185">
        <f>SUM(V13:AA13)</f>
        <v>21567</v>
      </c>
      <c r="AJ13" s="145"/>
      <c r="AK13" s="145"/>
      <c r="AL13" s="145"/>
      <c r="AM13" s="145"/>
      <c r="AN13" s="145"/>
      <c r="AO13" s="145"/>
      <c r="AQ13" s="145"/>
    </row>
    <row r="14" spans="1:43" x14ac:dyDescent="0.2">
      <c r="A14" s="122" t="s">
        <v>51</v>
      </c>
      <c r="B14" s="195">
        <v>109</v>
      </c>
      <c r="C14" s="196">
        <v>123</v>
      </c>
      <c r="D14" s="196">
        <v>101</v>
      </c>
      <c r="E14" s="197">
        <v>92</v>
      </c>
      <c r="F14" s="196">
        <v>74</v>
      </c>
      <c r="G14" s="196">
        <v>33</v>
      </c>
      <c r="H14" s="200"/>
      <c r="I14" s="185">
        <f t="shared" si="5"/>
        <v>532</v>
      </c>
      <c r="K14" s="122" t="s">
        <v>51</v>
      </c>
      <c r="L14" s="205">
        <v>423</v>
      </c>
      <c r="M14" s="197">
        <v>446</v>
      </c>
      <c r="N14" s="197">
        <v>413</v>
      </c>
      <c r="O14" s="197">
        <v>309</v>
      </c>
      <c r="P14" s="197">
        <v>290</v>
      </c>
      <c r="Q14" s="197">
        <v>133</v>
      </c>
      <c r="R14" s="200"/>
      <c r="S14" s="185">
        <f t="shared" si="6"/>
        <v>2014</v>
      </c>
      <c r="U14" s="122" t="s">
        <v>51</v>
      </c>
      <c r="V14" s="195">
        <f>1838+24</f>
        <v>1862</v>
      </c>
      <c r="W14" s="196">
        <v>1951</v>
      </c>
      <c r="X14" s="196">
        <v>2162</v>
      </c>
      <c r="Y14" s="197">
        <v>1414</v>
      </c>
      <c r="Z14" s="197">
        <v>1293</v>
      </c>
      <c r="AA14" s="197">
        <v>522</v>
      </c>
      <c r="AB14" s="200"/>
      <c r="AC14" s="186">
        <f>SUM(V14:AA14)</f>
        <v>9204</v>
      </c>
      <c r="AJ14" s="145"/>
      <c r="AK14" s="145"/>
      <c r="AL14" s="145"/>
      <c r="AM14" s="145"/>
      <c r="AN14" s="145"/>
      <c r="AO14" s="145"/>
      <c r="AQ14" s="145"/>
    </row>
    <row r="15" spans="1:43" x14ac:dyDescent="0.2">
      <c r="A15" s="77" t="s">
        <v>43</v>
      </c>
      <c r="B15" s="143">
        <f t="shared" ref="B15:G15" si="7">SUM(B12:B14)</f>
        <v>728</v>
      </c>
      <c r="C15" s="143">
        <f t="shared" si="7"/>
        <v>581</v>
      </c>
      <c r="D15" s="143">
        <f t="shared" si="7"/>
        <v>635</v>
      </c>
      <c r="E15" s="143">
        <f t="shared" si="7"/>
        <v>594</v>
      </c>
      <c r="F15" s="143">
        <f t="shared" si="7"/>
        <v>469</v>
      </c>
      <c r="G15" s="143">
        <f t="shared" si="7"/>
        <v>255</v>
      </c>
      <c r="H15" s="146"/>
      <c r="I15" s="142">
        <f>SUM(I12:I14)</f>
        <v>3262</v>
      </c>
      <c r="K15" s="77" t="s">
        <v>43</v>
      </c>
      <c r="L15" s="143">
        <f t="shared" ref="L15:Q15" si="8">SUM(L12:L14)</f>
        <v>2680</v>
      </c>
      <c r="M15" s="143">
        <f t="shared" si="8"/>
        <v>2230</v>
      </c>
      <c r="N15" s="143">
        <f t="shared" si="8"/>
        <v>2391</v>
      </c>
      <c r="O15" s="143">
        <f t="shared" si="8"/>
        <v>2106</v>
      </c>
      <c r="P15" s="143">
        <f t="shared" si="8"/>
        <v>1860</v>
      </c>
      <c r="Q15" s="143">
        <f t="shared" si="8"/>
        <v>885</v>
      </c>
      <c r="R15" s="146"/>
      <c r="S15" s="142">
        <f>SUM(S12:S14)</f>
        <v>12152</v>
      </c>
      <c r="U15" s="77" t="s">
        <v>43</v>
      </c>
      <c r="V15" s="143">
        <f t="shared" ref="V15:AA15" si="9">SUM(V12:V14)</f>
        <v>11398</v>
      </c>
      <c r="W15" s="143">
        <f t="shared" si="9"/>
        <v>9562</v>
      </c>
      <c r="X15" s="143">
        <f t="shared" si="9"/>
        <v>11219</v>
      </c>
      <c r="Y15" s="143">
        <f t="shared" si="9"/>
        <v>9273</v>
      </c>
      <c r="Z15" s="143">
        <f t="shared" si="9"/>
        <v>8323</v>
      </c>
      <c r="AA15" s="143">
        <f t="shared" si="9"/>
        <v>3711</v>
      </c>
      <c r="AB15" s="146"/>
      <c r="AC15" s="142">
        <f>SUM(AC12:AC14)</f>
        <v>53486</v>
      </c>
      <c r="AJ15" s="145"/>
      <c r="AK15" s="145"/>
      <c r="AL15" s="145"/>
      <c r="AM15" s="145"/>
      <c r="AN15" s="145"/>
      <c r="AO15" s="145"/>
      <c r="AQ15" s="145"/>
    </row>
    <row r="16" spans="1:43" x14ac:dyDescent="0.2">
      <c r="AJ16" s="145"/>
      <c r="AK16" s="145"/>
      <c r="AL16" s="145"/>
      <c r="AM16" s="145"/>
      <c r="AN16" s="145"/>
      <c r="AO16" s="145"/>
      <c r="AQ16" s="145"/>
    </row>
    <row r="17" spans="1:45" x14ac:dyDescent="0.2">
      <c r="U17" s="113">
        <v>2017</v>
      </c>
      <c r="V17" s="112" t="s">
        <v>4</v>
      </c>
    </row>
    <row r="18" spans="1:45" x14ac:dyDescent="0.2">
      <c r="B18" s="149"/>
      <c r="C18" s="149"/>
      <c r="D18" s="149"/>
      <c r="E18" s="149"/>
      <c r="F18" s="149"/>
      <c r="G18" s="149"/>
      <c r="H18" s="112" t="s">
        <v>64</v>
      </c>
      <c r="U18" s="126" t="s">
        <v>45</v>
      </c>
      <c r="V18" s="652" t="s">
        <v>22</v>
      </c>
      <c r="W18" s="653"/>
      <c r="X18" s="653"/>
      <c r="Y18" s="653"/>
      <c r="Z18" s="653"/>
      <c r="AA18" s="654"/>
      <c r="AB18" s="653"/>
      <c r="AC18" s="655"/>
    </row>
    <row r="19" spans="1:45" ht="13.5" thickBot="1" x14ac:dyDescent="0.25">
      <c r="B19" s="149"/>
      <c r="C19" s="149"/>
      <c r="D19" s="149"/>
      <c r="E19" s="149"/>
      <c r="F19" s="149"/>
      <c r="G19" s="149"/>
      <c r="U19" s="126" t="s">
        <v>46</v>
      </c>
      <c r="V19" s="187">
        <v>1</v>
      </c>
      <c r="W19" s="188">
        <v>2</v>
      </c>
      <c r="X19" s="188">
        <v>3</v>
      </c>
      <c r="Y19" s="188">
        <v>4</v>
      </c>
      <c r="Z19" s="188">
        <v>5</v>
      </c>
      <c r="AA19" s="188">
        <v>6</v>
      </c>
      <c r="AB19" s="189"/>
      <c r="AC19" s="190" t="s">
        <v>21</v>
      </c>
      <c r="AF19" s="77"/>
      <c r="AG19" s="77"/>
    </row>
    <row r="20" spans="1:45" x14ac:dyDescent="0.2">
      <c r="B20" s="149"/>
      <c r="C20" s="149"/>
      <c r="D20" s="149"/>
      <c r="E20" s="149"/>
      <c r="F20" s="149"/>
      <c r="G20" s="149"/>
      <c r="U20" s="134" t="s">
        <v>47</v>
      </c>
      <c r="V20" s="202">
        <f>4681+62</f>
        <v>4743</v>
      </c>
      <c r="W20" s="203">
        <v>3861</v>
      </c>
      <c r="X20" s="203">
        <v>4384</v>
      </c>
      <c r="Y20" s="203">
        <v>3911</v>
      </c>
      <c r="Z20" s="203">
        <v>3403</v>
      </c>
      <c r="AA20" s="588">
        <v>1520</v>
      </c>
      <c r="AB20" s="198"/>
      <c r="AC20" s="185">
        <f t="shared" ref="AC20" si="10">SUM(V20:AA20)</f>
        <v>21822</v>
      </c>
      <c r="AF20" s="147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</row>
    <row r="21" spans="1:45" x14ac:dyDescent="0.2">
      <c r="B21" s="149"/>
      <c r="C21" s="149"/>
      <c r="D21" s="149"/>
      <c r="E21" s="149"/>
      <c r="F21" s="149"/>
      <c r="G21" s="149"/>
      <c r="U21" s="121" t="s">
        <v>44</v>
      </c>
      <c r="V21" s="204">
        <f>4482+42</f>
        <v>4524</v>
      </c>
      <c r="W21" s="201">
        <v>3492</v>
      </c>
      <c r="X21" s="201">
        <v>4091</v>
      </c>
      <c r="Y21" s="201">
        <v>3848</v>
      </c>
      <c r="Z21" s="201">
        <v>3098</v>
      </c>
      <c r="AA21" s="201">
        <v>1653</v>
      </c>
      <c r="AB21" s="199"/>
      <c r="AC21" s="185">
        <f>SUM(V21:AA21)</f>
        <v>20706</v>
      </c>
      <c r="AF21" s="112"/>
      <c r="AG21" s="149"/>
      <c r="AH21" s="149"/>
      <c r="AI21" s="149"/>
      <c r="AJ21" s="149"/>
      <c r="AK21" s="149"/>
      <c r="AL21" s="149"/>
      <c r="AM21" s="123"/>
      <c r="AN21" s="150"/>
      <c r="AO21" s="150"/>
      <c r="AP21" s="150"/>
      <c r="AQ21" s="150"/>
      <c r="AR21" s="150"/>
      <c r="AS21" s="150"/>
    </row>
    <row r="22" spans="1:45" ht="13.9" customHeight="1" x14ac:dyDescent="0.2">
      <c r="B22" s="149"/>
      <c r="C22" s="149"/>
      <c r="D22" s="149"/>
      <c r="E22" s="149"/>
      <c r="F22" s="149"/>
      <c r="G22" s="149"/>
      <c r="U22" s="122" t="s">
        <v>51</v>
      </c>
      <c r="V22" s="205">
        <f>1803+41</f>
        <v>1844</v>
      </c>
      <c r="W22" s="197">
        <v>1889</v>
      </c>
      <c r="X22" s="197">
        <v>1810</v>
      </c>
      <c r="Y22" s="197">
        <v>1420</v>
      </c>
      <c r="Z22" s="197">
        <v>1258</v>
      </c>
      <c r="AA22" s="197">
        <v>527</v>
      </c>
      <c r="AB22" s="200"/>
      <c r="AC22" s="185">
        <f t="shared" ref="AC22" si="11">SUM(V22:AA22)</f>
        <v>8748</v>
      </c>
      <c r="AF22" s="112"/>
      <c r="AG22" s="149"/>
      <c r="AH22" s="149"/>
      <c r="AI22" s="149"/>
      <c r="AJ22" s="149"/>
      <c r="AK22" s="149"/>
      <c r="AL22" s="149"/>
      <c r="AM22" s="123"/>
      <c r="AN22" s="150"/>
      <c r="AO22" s="150"/>
      <c r="AP22" s="150"/>
      <c r="AQ22" s="150"/>
      <c r="AR22" s="150"/>
      <c r="AS22" s="150"/>
    </row>
    <row r="23" spans="1:45" x14ac:dyDescent="0.2">
      <c r="U23" s="77" t="s">
        <v>43</v>
      </c>
      <c r="V23" s="143">
        <f t="shared" ref="V23:AA23" si="12">SUM(V20:V22)</f>
        <v>11111</v>
      </c>
      <c r="W23" s="143">
        <f t="shared" si="12"/>
        <v>9242</v>
      </c>
      <c r="X23" s="143">
        <f t="shared" si="12"/>
        <v>10285</v>
      </c>
      <c r="Y23" s="143">
        <f t="shared" si="12"/>
        <v>9179</v>
      </c>
      <c r="Z23" s="143">
        <f t="shared" si="12"/>
        <v>7759</v>
      </c>
      <c r="AA23" s="143">
        <f t="shared" si="12"/>
        <v>3700</v>
      </c>
      <c r="AB23" s="146"/>
      <c r="AC23" s="142">
        <f>SUM(AC20:AC22)</f>
        <v>51276</v>
      </c>
      <c r="AF23" s="112"/>
      <c r="AG23" s="149"/>
      <c r="AH23" s="149"/>
      <c r="AI23" s="149"/>
      <c r="AJ23" s="149"/>
      <c r="AK23" s="149"/>
      <c r="AL23" s="149"/>
      <c r="AM23" s="123"/>
      <c r="AN23" s="150"/>
      <c r="AO23" s="150"/>
      <c r="AP23" s="150"/>
      <c r="AQ23" s="150"/>
      <c r="AR23" s="150"/>
      <c r="AS23" s="150"/>
    </row>
    <row r="24" spans="1:45" x14ac:dyDescent="0.2">
      <c r="U24" s="77"/>
      <c r="V24" s="151"/>
      <c r="W24" s="151"/>
      <c r="X24" s="151"/>
      <c r="Y24" s="151"/>
      <c r="Z24" s="151"/>
      <c r="AA24" s="151"/>
      <c r="AB24" s="123"/>
      <c r="AC24" s="123"/>
      <c r="AF24" s="112"/>
      <c r="AG24" s="149"/>
      <c r="AH24" s="149"/>
      <c r="AI24" s="149"/>
      <c r="AJ24" s="149"/>
      <c r="AK24" s="149"/>
      <c r="AL24" s="149"/>
      <c r="AM24" s="123"/>
      <c r="AN24" s="150"/>
      <c r="AO24" s="150"/>
      <c r="AP24" s="150"/>
      <c r="AQ24" s="150"/>
      <c r="AR24" s="150"/>
      <c r="AS24" s="150"/>
    </row>
    <row r="25" spans="1:45" hidden="1" x14ac:dyDescent="0.2">
      <c r="A25" s="113" t="s">
        <v>229</v>
      </c>
      <c r="K25" s="113" t="s">
        <v>231</v>
      </c>
      <c r="U25" s="113" t="s">
        <v>63</v>
      </c>
      <c r="V25" s="113"/>
      <c r="W25" s="113"/>
      <c r="X25" s="113"/>
      <c r="Y25" s="113"/>
      <c r="Z25" s="113"/>
      <c r="AA25" s="113"/>
      <c r="AB25" s="113"/>
      <c r="AC25" s="113"/>
    </row>
    <row r="26" spans="1:45" hidden="1" x14ac:dyDescent="0.2">
      <c r="A26" s="126" t="s">
        <v>45</v>
      </c>
      <c r="B26" s="127" t="s">
        <v>22</v>
      </c>
      <c r="C26" s="114"/>
      <c r="D26" s="114"/>
      <c r="E26" s="114"/>
      <c r="F26" s="114"/>
      <c r="G26" s="587"/>
      <c r="H26" s="114"/>
      <c r="I26" s="115"/>
      <c r="K26" s="126" t="s">
        <v>45</v>
      </c>
      <c r="L26" s="127" t="s">
        <v>22</v>
      </c>
      <c r="M26" s="114"/>
      <c r="N26" s="114"/>
      <c r="O26" s="114"/>
      <c r="P26" s="114"/>
      <c r="Q26" s="587"/>
      <c r="R26" s="114"/>
      <c r="S26" s="115"/>
      <c r="U26" s="126" t="s">
        <v>45</v>
      </c>
      <c r="V26" s="127" t="s">
        <v>22</v>
      </c>
      <c r="W26" s="114"/>
      <c r="X26" s="114"/>
      <c r="Y26" s="114"/>
      <c r="Z26" s="114"/>
      <c r="AA26" s="587"/>
      <c r="AB26" s="114"/>
      <c r="AC26" s="115"/>
    </row>
    <row r="27" spans="1:45" ht="13.5" hidden="1" thickBot="1" x14ac:dyDescent="0.25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52">
        <v>6</v>
      </c>
      <c r="H27" s="118"/>
      <c r="I27" s="119" t="s">
        <v>21</v>
      </c>
      <c r="K27" s="126" t="s">
        <v>46</v>
      </c>
      <c r="L27" s="127">
        <v>1</v>
      </c>
      <c r="M27" s="152">
        <v>2</v>
      </c>
      <c r="N27" s="152">
        <v>3</v>
      </c>
      <c r="O27" s="152">
        <v>4</v>
      </c>
      <c r="P27" s="152">
        <v>5</v>
      </c>
      <c r="Q27" s="152">
        <v>6</v>
      </c>
      <c r="R27" s="118"/>
      <c r="S27" s="119" t="s">
        <v>21</v>
      </c>
      <c r="U27" s="126" t="s">
        <v>46</v>
      </c>
      <c r="V27" s="127">
        <v>1</v>
      </c>
      <c r="W27" s="152">
        <v>2</v>
      </c>
      <c r="X27" s="152">
        <v>3</v>
      </c>
      <c r="Y27" s="152">
        <v>4</v>
      </c>
      <c r="Z27" s="152">
        <v>5</v>
      </c>
      <c r="AA27" s="152"/>
      <c r="AB27" s="171"/>
      <c r="AC27" s="119" t="s">
        <v>21</v>
      </c>
    </row>
    <row r="28" spans="1:45" hidden="1" x14ac:dyDescent="0.2">
      <c r="A28" s="134" t="s">
        <v>47</v>
      </c>
      <c r="B28" s="153">
        <f t="shared" ref="B28:G30" si="13">L28/4</f>
        <v>294.15342465753423</v>
      </c>
      <c r="C28" s="153">
        <f t="shared" si="13"/>
        <v>252.40273972602739</v>
      </c>
      <c r="D28" s="153">
        <f t="shared" si="13"/>
        <v>293.96164383561643</v>
      </c>
      <c r="E28" s="153">
        <f t="shared" si="13"/>
        <v>245.53698630136986</v>
      </c>
      <c r="F28" s="153">
        <f t="shared" si="13"/>
        <v>218.87945205479451</v>
      </c>
      <c r="G28" s="153">
        <f t="shared" si="13"/>
        <v>101.68219178082191</v>
      </c>
      <c r="H28" s="154">
        <f>SUM(B28:F28)</f>
        <v>1304.9342465753423</v>
      </c>
      <c r="I28" s="155"/>
      <c r="J28" s="156"/>
      <c r="K28" s="157" t="s">
        <v>47</v>
      </c>
      <c r="L28" s="153">
        <f>L38/365*28</f>
        <v>1176.6136986301369</v>
      </c>
      <c r="M28" s="153">
        <f>M38/365*28</f>
        <v>1009.6109589041096</v>
      </c>
      <c r="N28" s="153">
        <f>N38/365*28</f>
        <v>1175.8465753424657</v>
      </c>
      <c r="O28" s="153">
        <f>O38/365*28</f>
        <v>982.14794520547946</v>
      </c>
      <c r="P28" s="153">
        <f>P38/365*28</f>
        <v>875.51780821917805</v>
      </c>
      <c r="Q28" s="153">
        <f t="shared" ref="Q28:Q30" si="14">Q38/365*28</f>
        <v>406.72876712328764</v>
      </c>
      <c r="R28" s="154">
        <f>SUM(L28:P28)</f>
        <v>5219.7369863013691</v>
      </c>
      <c r="S28" s="155"/>
      <c r="T28" s="156"/>
      <c r="U28" s="157" t="s">
        <v>47</v>
      </c>
      <c r="V28" s="172">
        <f t="shared" ref="V28:Z30" si="15">(V4+V12+V20)/3</f>
        <v>4734.666666666667</v>
      </c>
      <c r="W28" s="173">
        <f t="shared" si="15"/>
        <v>3990</v>
      </c>
      <c r="X28" s="173">
        <f t="shared" si="15"/>
        <v>4633.666666666667</v>
      </c>
      <c r="Y28" s="173">
        <f t="shared" si="15"/>
        <v>3951.6666666666665</v>
      </c>
      <c r="Z28" s="173">
        <f t="shared" si="15"/>
        <v>3583</v>
      </c>
      <c r="AA28" s="592"/>
      <c r="AB28" s="154">
        <f>SUM(V28:Z28)</f>
        <v>20893.000000000004</v>
      </c>
      <c r="AC28" s="155"/>
    </row>
    <row r="29" spans="1:45" hidden="1" x14ac:dyDescent="0.2">
      <c r="A29" s="121" t="s">
        <v>44</v>
      </c>
      <c r="B29" s="153">
        <f t="shared" si="13"/>
        <v>281.80273972602737</v>
      </c>
      <c r="C29" s="153">
        <f t="shared" si="13"/>
        <v>232.86027397260273</v>
      </c>
      <c r="D29" s="153">
        <f t="shared" si="13"/>
        <v>271.25479452054793</v>
      </c>
      <c r="E29" s="153">
        <f t="shared" si="13"/>
        <v>246.53424657534248</v>
      </c>
      <c r="F29" s="153">
        <f t="shared" si="13"/>
        <v>190.18904109589042</v>
      </c>
      <c r="G29" s="153">
        <f t="shared" si="13"/>
        <v>100.72328767123288</v>
      </c>
      <c r="H29" s="158">
        <f>SUM(B29:F29)</f>
        <v>1222.6410958904107</v>
      </c>
      <c r="I29" s="159"/>
      <c r="J29" s="156"/>
      <c r="K29" s="160" t="s">
        <v>44</v>
      </c>
      <c r="L29" s="153">
        <f t="shared" ref="L29:P30" si="16">L39/365*28</f>
        <v>1127.2109589041095</v>
      </c>
      <c r="M29" s="153">
        <f t="shared" si="16"/>
        <v>931.44109589041091</v>
      </c>
      <c r="N29" s="153">
        <f t="shared" si="16"/>
        <v>1085.0191780821917</v>
      </c>
      <c r="O29" s="153">
        <f t="shared" si="16"/>
        <v>986.13698630136992</v>
      </c>
      <c r="P29" s="153">
        <f t="shared" si="16"/>
        <v>760.75616438356167</v>
      </c>
      <c r="Q29" s="153">
        <f t="shared" si="14"/>
        <v>402.89315068493153</v>
      </c>
      <c r="R29" s="158">
        <f>SUM(L29:P29)</f>
        <v>4890.5643835616429</v>
      </c>
      <c r="S29" s="159"/>
      <c r="T29" s="156"/>
      <c r="U29" s="160" t="s">
        <v>44</v>
      </c>
      <c r="V29" s="174">
        <f t="shared" si="15"/>
        <v>4627</v>
      </c>
      <c r="W29" s="175">
        <f t="shared" si="15"/>
        <v>3685.3333333333335</v>
      </c>
      <c r="X29" s="175">
        <f t="shared" si="15"/>
        <v>4287.333333333333</v>
      </c>
      <c r="Y29" s="175">
        <f t="shared" si="15"/>
        <v>4024</v>
      </c>
      <c r="Z29" s="175">
        <f t="shared" si="15"/>
        <v>3170.6666666666665</v>
      </c>
      <c r="AA29" s="175"/>
      <c r="AB29" s="158">
        <f>SUM(V29:Z29)</f>
        <v>19794.333333333336</v>
      </c>
      <c r="AC29" s="159"/>
    </row>
    <row r="30" spans="1:45" hidden="1" x14ac:dyDescent="0.2">
      <c r="A30" s="122" t="s">
        <v>51</v>
      </c>
      <c r="B30" s="153">
        <f t="shared" si="13"/>
        <v>113.66849315068492</v>
      </c>
      <c r="C30" s="153">
        <f t="shared" si="13"/>
        <v>121.01369863013699</v>
      </c>
      <c r="D30" s="153">
        <f t="shared" si="13"/>
        <v>125.86575342465753</v>
      </c>
      <c r="E30" s="153">
        <f t="shared" si="13"/>
        <v>91</v>
      </c>
      <c r="F30" s="153">
        <f t="shared" si="13"/>
        <v>82.446575342465749</v>
      </c>
      <c r="G30" s="153">
        <f t="shared" si="13"/>
        <v>34.443835616438356</v>
      </c>
      <c r="H30" s="161">
        <f>SUM(B30:F30)</f>
        <v>533.99452054794517</v>
      </c>
      <c r="I30" s="162"/>
      <c r="J30" s="156"/>
      <c r="K30" s="163" t="s">
        <v>51</v>
      </c>
      <c r="L30" s="153">
        <f t="shared" si="16"/>
        <v>454.6739726027397</v>
      </c>
      <c r="M30" s="153">
        <f t="shared" si="16"/>
        <v>484.05479452054794</v>
      </c>
      <c r="N30" s="153">
        <f t="shared" si="16"/>
        <v>503.46301369863011</v>
      </c>
      <c r="O30" s="153">
        <f t="shared" si="16"/>
        <v>364</v>
      </c>
      <c r="P30" s="153">
        <f t="shared" si="16"/>
        <v>329.786301369863</v>
      </c>
      <c r="Q30" s="153">
        <f t="shared" si="14"/>
        <v>137.77534246575343</v>
      </c>
      <c r="R30" s="161">
        <f>SUM(L30:P30)</f>
        <v>2135.9780821917807</v>
      </c>
      <c r="S30" s="162"/>
      <c r="T30" s="156"/>
      <c r="U30" s="163" t="s">
        <v>51</v>
      </c>
      <c r="V30" s="176">
        <f t="shared" si="15"/>
        <v>1832</v>
      </c>
      <c r="W30" s="177">
        <f t="shared" si="15"/>
        <v>1922.6666666666667</v>
      </c>
      <c r="X30" s="177">
        <f t="shared" si="15"/>
        <v>2002.6666666666667</v>
      </c>
      <c r="Y30" s="177">
        <f t="shared" si="15"/>
        <v>1462.6666666666667</v>
      </c>
      <c r="Z30" s="177">
        <f t="shared" si="15"/>
        <v>1284.6666666666667</v>
      </c>
      <c r="AA30" s="177"/>
      <c r="AB30" s="161">
        <f>SUM(V30:Z30)</f>
        <v>8504.6666666666679</v>
      </c>
      <c r="AC30" s="162"/>
    </row>
    <row r="31" spans="1:45" hidden="1" x14ac:dyDescent="0.2">
      <c r="A31" s="77" t="s">
        <v>43</v>
      </c>
      <c r="B31" s="164">
        <f t="shared" ref="B31:H31" si="17">SUM(B28:B30)</f>
        <v>689.62465753424658</v>
      </c>
      <c r="C31" s="164">
        <f t="shared" si="17"/>
        <v>606.27671232876708</v>
      </c>
      <c r="D31" s="164">
        <f t="shared" si="17"/>
        <v>691.08219178082197</v>
      </c>
      <c r="E31" s="164">
        <f t="shared" si="17"/>
        <v>583.07123287671232</v>
      </c>
      <c r="F31" s="164">
        <f t="shared" si="17"/>
        <v>491.51506849315069</v>
      </c>
      <c r="G31" s="164">
        <f t="shared" si="17"/>
        <v>236.84931506849315</v>
      </c>
      <c r="H31" s="165">
        <f t="shared" si="17"/>
        <v>3061.5698630136985</v>
      </c>
      <c r="I31" s="164"/>
      <c r="J31" s="156"/>
      <c r="K31" s="166" t="s">
        <v>43</v>
      </c>
      <c r="L31" s="164">
        <f t="shared" ref="L31:R31" si="18">SUM(L28:L30)</f>
        <v>2758.4986301369863</v>
      </c>
      <c r="M31" s="164">
        <f t="shared" si="18"/>
        <v>2425.1068493150683</v>
      </c>
      <c r="N31" s="164">
        <f t="shared" si="18"/>
        <v>2764.3287671232879</v>
      </c>
      <c r="O31" s="164">
        <f t="shared" si="18"/>
        <v>2332.2849315068493</v>
      </c>
      <c r="P31" s="164">
        <f t="shared" si="18"/>
        <v>1966.0602739726028</v>
      </c>
      <c r="Q31" s="164">
        <f t="shared" si="18"/>
        <v>947.39726027397262</v>
      </c>
      <c r="R31" s="164">
        <f t="shared" si="18"/>
        <v>12246.279452054794</v>
      </c>
      <c r="S31" s="164"/>
      <c r="T31" s="156"/>
      <c r="U31" s="166" t="s">
        <v>43</v>
      </c>
      <c r="V31" s="164">
        <f t="shared" ref="V31:AB31" si="19">SUM(V28:V30)</f>
        <v>11193.666666666668</v>
      </c>
      <c r="W31" s="164">
        <f t="shared" si="19"/>
        <v>9598</v>
      </c>
      <c r="X31" s="164">
        <f t="shared" si="19"/>
        <v>10923.666666666666</v>
      </c>
      <c r="Y31" s="164">
        <f t="shared" si="19"/>
        <v>9438.3333333333321</v>
      </c>
      <c r="Z31" s="164">
        <f t="shared" si="19"/>
        <v>8038.333333333333</v>
      </c>
      <c r="AA31" s="164"/>
      <c r="AB31" s="164">
        <f t="shared" si="19"/>
        <v>49192.000000000015</v>
      </c>
      <c r="AC31" s="164"/>
    </row>
    <row r="32" spans="1:45" hidden="1" x14ac:dyDescent="0.2">
      <c r="B32" s="150"/>
      <c r="C32" s="150"/>
      <c r="D32" s="150"/>
      <c r="E32" s="150"/>
      <c r="F32" s="150"/>
      <c r="G32" s="150"/>
      <c r="H32" s="150"/>
      <c r="I32" s="150"/>
      <c r="J32" s="156"/>
      <c r="K32" s="156"/>
      <c r="L32" s="156"/>
      <c r="M32" s="156"/>
      <c r="N32" s="156"/>
      <c r="O32" s="156"/>
      <c r="P32" s="156"/>
      <c r="Q32" s="156"/>
      <c r="R32" s="156"/>
      <c r="S32" s="156"/>
    </row>
    <row r="33" spans="5:19" hidden="1" x14ac:dyDescent="0.2"/>
    <row r="34" spans="5:19" hidden="1" x14ac:dyDescent="0.2"/>
    <row r="35" spans="5:19" hidden="1" x14ac:dyDescent="0.2">
      <c r="K35" s="113" t="s">
        <v>230</v>
      </c>
    </row>
    <row r="36" spans="5:19" hidden="1" x14ac:dyDescent="0.2">
      <c r="K36" s="126" t="s">
        <v>45</v>
      </c>
      <c r="L36" s="127" t="s">
        <v>22</v>
      </c>
      <c r="M36" s="114"/>
      <c r="N36" s="114"/>
      <c r="O36" s="114"/>
      <c r="P36" s="114"/>
      <c r="Q36" s="587"/>
      <c r="R36" s="114"/>
      <c r="S36" s="115"/>
    </row>
    <row r="37" spans="5:19" ht="13.5" hidden="1" thickBot="1" x14ac:dyDescent="0.25">
      <c r="K37" s="126" t="s">
        <v>46</v>
      </c>
      <c r="L37" s="127">
        <v>1</v>
      </c>
      <c r="M37" s="152">
        <v>2</v>
      </c>
      <c r="N37" s="152">
        <v>3</v>
      </c>
      <c r="O37" s="152">
        <v>4</v>
      </c>
      <c r="P37" s="152">
        <v>5</v>
      </c>
      <c r="Q37" s="152">
        <v>6</v>
      </c>
      <c r="R37" s="118"/>
      <c r="S37" s="119" t="s">
        <v>21</v>
      </c>
    </row>
    <row r="38" spans="5:19" hidden="1" x14ac:dyDescent="0.2">
      <c r="K38" s="157" t="s">
        <v>47</v>
      </c>
      <c r="L38" s="167">
        <v>15338</v>
      </c>
      <c r="M38" s="167">
        <v>13161</v>
      </c>
      <c r="N38" s="167">
        <v>15328</v>
      </c>
      <c r="O38" s="167">
        <f>14036-1231-2</f>
        <v>12803</v>
      </c>
      <c r="P38" s="167">
        <f>15482-4066-3</f>
        <v>11413</v>
      </c>
      <c r="Q38" s="589">
        <v>5302</v>
      </c>
      <c r="R38" s="168">
        <f>SUM(L38:Q38)</f>
        <v>73345</v>
      </c>
      <c r="S38" s="155"/>
    </row>
    <row r="39" spans="5:19" hidden="1" x14ac:dyDescent="0.2">
      <c r="K39" s="160" t="s">
        <v>44</v>
      </c>
      <c r="L39" s="167">
        <v>14694</v>
      </c>
      <c r="M39" s="167">
        <v>12142</v>
      </c>
      <c r="N39" s="167">
        <v>14144</v>
      </c>
      <c r="O39" s="167">
        <f>14209-1352-2</f>
        <v>12855</v>
      </c>
      <c r="P39" s="167">
        <f>13815-3896-2</f>
        <v>9917</v>
      </c>
      <c r="Q39" s="589">
        <v>5252</v>
      </c>
      <c r="R39" s="169">
        <f>SUM(L39:Q39)</f>
        <v>69004</v>
      </c>
      <c r="S39" s="159"/>
    </row>
    <row r="40" spans="5:19" hidden="1" x14ac:dyDescent="0.2">
      <c r="K40" s="163" t="s">
        <v>51</v>
      </c>
      <c r="L40" s="167">
        <v>5927</v>
      </c>
      <c r="M40" s="167">
        <v>6310</v>
      </c>
      <c r="N40" s="167">
        <v>6563</v>
      </c>
      <c r="O40" s="167">
        <f>5204-459</f>
        <v>4745</v>
      </c>
      <c r="P40" s="167">
        <f>5636-1335-2</f>
        <v>4299</v>
      </c>
      <c r="Q40" s="589">
        <v>1796</v>
      </c>
      <c r="R40" s="170">
        <f>SUM(L40:Q40)</f>
        <v>29640</v>
      </c>
      <c r="S40" s="162"/>
    </row>
    <row r="41" spans="5:19" hidden="1" x14ac:dyDescent="0.2">
      <c r="K41" s="166" t="s">
        <v>43</v>
      </c>
      <c r="L41" s="164">
        <f t="shared" ref="L41:R41" si="20">SUM(L38:L40)</f>
        <v>35959</v>
      </c>
      <c r="M41" s="164">
        <f t="shared" si="20"/>
        <v>31613</v>
      </c>
      <c r="N41" s="164">
        <f t="shared" si="20"/>
        <v>36035</v>
      </c>
      <c r="O41" s="164">
        <f t="shared" si="20"/>
        <v>30403</v>
      </c>
      <c r="P41" s="164">
        <f t="shared" si="20"/>
        <v>25629</v>
      </c>
      <c r="Q41" s="164">
        <f t="shared" si="20"/>
        <v>12350</v>
      </c>
      <c r="R41" s="164">
        <f t="shared" si="20"/>
        <v>171989</v>
      </c>
      <c r="S41" s="164"/>
    </row>
    <row r="42" spans="5:19" x14ac:dyDescent="0.2">
      <c r="K42" s="156"/>
      <c r="L42" s="156"/>
      <c r="M42" s="156"/>
      <c r="N42" s="156"/>
      <c r="O42" s="156"/>
      <c r="P42" s="156"/>
      <c r="Q42" s="156"/>
      <c r="R42" s="156"/>
      <c r="S42" s="156"/>
    </row>
    <row r="43" spans="5:19" x14ac:dyDescent="0.2">
      <c r="E43" s="149"/>
      <c r="F43" s="149"/>
      <c r="G43" s="149"/>
      <c r="H43" s="149"/>
      <c r="I43" s="149"/>
      <c r="J43" s="145"/>
      <c r="L43" s="145"/>
    </row>
  </sheetData>
  <dataConsolidate/>
  <mergeCells count="2">
    <mergeCell ref="V18:AC18"/>
    <mergeCell ref="V10:AC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topLeftCell="A19"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Data'!F39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Data'!M39</f>
        <v>0.15300546448087432</v>
      </c>
      <c r="I12" s="403">
        <f>'YTD 2017'!M4</f>
        <v>0</v>
      </c>
      <c r="J12" s="401">
        <f>'YTD 2016'!M4</f>
        <v>1</v>
      </c>
      <c r="K12" s="401">
        <f>'YTD 2015'!M4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6">
        <f>'New Rapes'!E7</f>
        <v>0</v>
      </c>
      <c r="D13" s="556">
        <f>'New Rapes'!D7</f>
        <v>0</v>
      </c>
      <c r="E13" s="555">
        <f>'New Rapes'!C7</f>
        <v>0</v>
      </c>
      <c r="F13" s="555">
        <f>'New Rapes'!B7</f>
        <v>0</v>
      </c>
      <c r="G13" s="452">
        <f t="shared" ref="G13" si="3">SUM(C13:F13)</f>
        <v>0</v>
      </c>
      <c r="H13" s="576">
        <v>0.61369863013698633</v>
      </c>
      <c r="I13" s="557">
        <f>'New Rapes'!G7</f>
        <v>0</v>
      </c>
      <c r="J13" s="556">
        <f>'New Rapes'!H7</f>
        <v>3</v>
      </c>
      <c r="K13" s="556">
        <f>'New Rapes'!I7</f>
        <v>1</v>
      </c>
      <c r="L13" s="404">
        <f t="shared" si="0"/>
        <v>-3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ago'!D4</f>
        <v>0</v>
      </c>
      <c r="D14" s="401">
        <f>'3 weeks ago'!D4</f>
        <v>0</v>
      </c>
      <c r="E14" s="402">
        <f>'Previous Week'!D4</f>
        <v>0</v>
      </c>
      <c r="F14" s="402">
        <f>'Last Week'!D4</f>
        <v>1</v>
      </c>
      <c r="G14" s="452">
        <f t="shared" si="2"/>
        <v>1</v>
      </c>
      <c r="H14" s="491">
        <f>'2016 Data'!D39</f>
        <v>0.30601092896174864</v>
      </c>
      <c r="I14" s="403">
        <f>'YTD 2017'!D4</f>
        <v>1</v>
      </c>
      <c r="J14" s="401">
        <f>'YTD 2016'!D4</f>
        <v>2</v>
      </c>
      <c r="K14" s="401">
        <f>'YTD 2015'!D4</f>
        <v>1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0</v>
      </c>
      <c r="F15" s="402">
        <f>'Last Week'!Q4</f>
        <v>0</v>
      </c>
      <c r="G15" s="452">
        <f t="shared" si="2"/>
        <v>0</v>
      </c>
      <c r="H15" s="491">
        <f>'2016 Data'!Q39</f>
        <v>0.61202185792349728</v>
      </c>
      <c r="I15" s="403">
        <f>'YTD 2017'!Q4</f>
        <v>0</v>
      </c>
      <c r="J15" s="401">
        <f>'YTD 2016'!Q4</f>
        <v>3</v>
      </c>
      <c r="K15" s="401">
        <f>'YTD 2015'!Q4</f>
        <v>2</v>
      </c>
      <c r="L15" s="404">
        <f t="shared" si="0"/>
        <v>-3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Data'!O39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ago'!E4</f>
        <v>0</v>
      </c>
      <c r="D17" s="401">
        <f>'3 weeks ago'!E4</f>
        <v>0</v>
      </c>
      <c r="E17" s="402">
        <f>'Previous Week'!E4</f>
        <v>0</v>
      </c>
      <c r="F17" s="402">
        <f>'Last Week'!E4</f>
        <v>0</v>
      </c>
      <c r="G17" s="452">
        <f t="shared" si="2"/>
        <v>0</v>
      </c>
      <c r="H17" s="491">
        <f>'2016 Data'!E39</f>
        <v>0.68852459016393441</v>
      </c>
      <c r="I17" s="403">
        <f>'YTD 2017'!E4</f>
        <v>4</v>
      </c>
      <c r="J17" s="401">
        <f>'YTD 2016'!E4</f>
        <v>2</v>
      </c>
      <c r="K17" s="401">
        <f>'YTD 2015'!E4</f>
        <v>0</v>
      </c>
      <c r="L17" s="404">
        <f t="shared" si="0"/>
        <v>2</v>
      </c>
      <c r="M17" s="407">
        <f t="shared" si="1"/>
        <v>4</v>
      </c>
      <c r="N17" s="380"/>
    </row>
    <row r="18" spans="1:14" x14ac:dyDescent="0.25">
      <c r="A18" s="375"/>
      <c r="B18" s="406" t="s">
        <v>41</v>
      </c>
      <c r="C18" s="401">
        <f>'4 weeks ago'!J4</f>
        <v>0</v>
      </c>
      <c r="D18" s="401">
        <f>'3 weeks ago'!J4</f>
        <v>0</v>
      </c>
      <c r="E18" s="402">
        <f>'Previous Week'!J4</f>
        <v>0</v>
      </c>
      <c r="F18" s="402">
        <f>'Last Week'!J4</f>
        <v>1</v>
      </c>
      <c r="G18" s="452">
        <f t="shared" si="2"/>
        <v>1</v>
      </c>
      <c r="H18" s="491">
        <f>'2016 Data'!J39</f>
        <v>0.84153005464480868</v>
      </c>
      <c r="I18" s="403">
        <f>'YTD 2017'!J4</f>
        <v>5</v>
      </c>
      <c r="J18" s="401">
        <f>'YTD 2016'!J4</f>
        <v>2</v>
      </c>
      <c r="K18" s="401">
        <f>'YTD 2015'!J4</f>
        <v>2</v>
      </c>
      <c r="L18" s="404">
        <f t="shared" si="0"/>
        <v>3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2</v>
      </c>
      <c r="G19" s="453">
        <f t="shared" si="4"/>
        <v>2</v>
      </c>
      <c r="H19" s="492">
        <f t="shared" si="4"/>
        <v>3.5973051875140354</v>
      </c>
      <c r="I19" s="411">
        <f t="shared" si="4"/>
        <v>10</v>
      </c>
      <c r="J19" s="409">
        <f t="shared" si="4"/>
        <v>13</v>
      </c>
      <c r="K19" s="409">
        <f t="shared" si="4"/>
        <v>7</v>
      </c>
      <c r="L19" s="412">
        <f>(I19-J19)/J19</f>
        <v>-0.23076923076923078</v>
      </c>
      <c r="M19" s="413">
        <f>(I19-K19)/K19</f>
        <v>0.42857142857142855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Data'!C39</f>
        <v>0.45901639344262296</v>
      </c>
      <c r="I21" s="416">
        <f>'YTD 2017'!C4</f>
        <v>1</v>
      </c>
      <c r="J21" s="401">
        <f>'YTD 2016'!C4</f>
        <v>2</v>
      </c>
      <c r="K21" s="401">
        <f>'YTD 2015'!C4</f>
        <v>3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ago'!N4</f>
        <v>1</v>
      </c>
      <c r="D22" s="401">
        <f>'3 weeks ago'!N4</f>
        <v>1</v>
      </c>
      <c r="E22" s="402">
        <f>'Previous Week'!N4</f>
        <v>1</v>
      </c>
      <c r="F22" s="402">
        <f>'Last Week'!N4</f>
        <v>3</v>
      </c>
      <c r="G22" s="452">
        <f t="shared" si="5"/>
        <v>6</v>
      </c>
      <c r="H22" s="491">
        <f>'2016 Data'!N39</f>
        <v>7.1147540983606561</v>
      </c>
      <c r="I22" s="418">
        <f>'YTD 2017'!N4</f>
        <v>16</v>
      </c>
      <c r="J22" s="401">
        <f>'YTD 2016'!N4</f>
        <v>39</v>
      </c>
      <c r="K22" s="401">
        <f>'YTD 2015'!N4</f>
        <v>22</v>
      </c>
      <c r="L22" s="404">
        <f t="shared" si="6"/>
        <v>-23</v>
      </c>
      <c r="M22" s="407">
        <f t="shared" ref="M22:M29" si="7">I22-K22</f>
        <v>-6</v>
      </c>
      <c r="N22" s="380"/>
    </row>
    <row r="23" spans="1:14" x14ac:dyDescent="0.25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Data'!L39</f>
        <v>0.30601092896174864</v>
      </c>
      <c r="I23" s="418">
        <f>'YTD 2017'!L4</f>
        <v>0</v>
      </c>
      <c r="J23" s="401">
        <f>'YTD 2016'!L4</f>
        <v>1</v>
      </c>
      <c r="K23" s="401">
        <f>'YTD 2015'!L4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ago'!P4</f>
        <v>1</v>
      </c>
      <c r="D24" s="401">
        <f>'3 weeks ago'!P4</f>
        <v>1</v>
      </c>
      <c r="E24" s="402">
        <f>'Previous Week'!P4</f>
        <v>0</v>
      </c>
      <c r="F24" s="402">
        <f>'Last Week'!P4</f>
        <v>0</v>
      </c>
      <c r="G24" s="452">
        <f t="shared" si="5"/>
        <v>2</v>
      </c>
      <c r="H24" s="491">
        <f>'2016 Data'!P39</f>
        <v>2.9071038251366121</v>
      </c>
      <c r="I24" s="418">
        <f>'YTD 2017'!P4</f>
        <v>10</v>
      </c>
      <c r="J24" s="401">
        <f>'YTD 2016'!P4</f>
        <v>13</v>
      </c>
      <c r="K24" s="401">
        <f>'YTD 2015'!P4</f>
        <v>8</v>
      </c>
      <c r="L24" s="404">
        <f t="shared" si="6"/>
        <v>-3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ago'!G4</f>
        <v>1</v>
      </c>
      <c r="D25" s="401">
        <f>'3 weeks ago'!G4</f>
        <v>1</v>
      </c>
      <c r="E25" s="402">
        <f>'Previous Week'!G4</f>
        <v>1</v>
      </c>
      <c r="F25" s="402">
        <f>'Last Week'!G4</f>
        <v>1</v>
      </c>
      <c r="G25" s="452">
        <f t="shared" si="5"/>
        <v>4</v>
      </c>
      <c r="H25" s="491">
        <f>'2016 Data'!G39</f>
        <v>8.5683060109289624</v>
      </c>
      <c r="I25" s="418">
        <f>'YTD 2017'!G4</f>
        <v>26</v>
      </c>
      <c r="J25" s="401">
        <f>'YTD 2016'!G4</f>
        <v>27</v>
      </c>
      <c r="K25" s="401">
        <f>'YTD 2015'!G4</f>
        <v>29</v>
      </c>
      <c r="L25" s="404">
        <f t="shared" si="6"/>
        <v>-1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ago'!I4</f>
        <v>0</v>
      </c>
      <c r="D26" s="401">
        <f>'3 weeks ago'!I4</f>
        <v>1</v>
      </c>
      <c r="E26" s="402">
        <f>'Previous Week'!I4</f>
        <v>0</v>
      </c>
      <c r="F26" s="402">
        <f>'Last Week'!I4</f>
        <v>0</v>
      </c>
      <c r="G26" s="452">
        <f t="shared" si="5"/>
        <v>1</v>
      </c>
      <c r="H26" s="491">
        <f>'2016 Data'!I39</f>
        <v>2.6010928961748636</v>
      </c>
      <c r="I26" s="418">
        <f>'YTD 2017'!I4</f>
        <v>4</v>
      </c>
      <c r="J26" s="401">
        <f>'YTD 2016'!I4</f>
        <v>8</v>
      </c>
      <c r="K26" s="401">
        <f>'YTD 2015'!I4</f>
        <v>11</v>
      </c>
      <c r="L26" s="404">
        <f t="shared" si="6"/>
        <v>-4</v>
      </c>
      <c r="M26" s="407">
        <f t="shared" si="7"/>
        <v>-7</v>
      </c>
      <c r="N26" s="380"/>
    </row>
    <row r="27" spans="1:14" x14ac:dyDescent="0.25">
      <c r="A27" s="375"/>
      <c r="B27" s="406" t="s">
        <v>67</v>
      </c>
      <c r="C27" s="401">
        <f>'4 weeks ago'!H4</f>
        <v>1</v>
      </c>
      <c r="D27" s="401">
        <f>'3 weeks ago'!H4</f>
        <v>1</v>
      </c>
      <c r="E27" s="402">
        <f>'Previous Week'!H4</f>
        <v>0</v>
      </c>
      <c r="F27" s="402">
        <f>'Last Week'!H4</f>
        <v>0</v>
      </c>
      <c r="G27" s="452">
        <f t="shared" si="5"/>
        <v>2</v>
      </c>
      <c r="H27" s="491">
        <f>'2016 Data'!H39</f>
        <v>2.6775956284153004</v>
      </c>
      <c r="I27" s="418">
        <f>'YTD 2017'!H4</f>
        <v>17</v>
      </c>
      <c r="J27" s="401">
        <f>'YTD 2016'!H4</f>
        <v>13</v>
      </c>
      <c r="K27" s="401">
        <f>'YTD 2015'!H4</f>
        <v>6</v>
      </c>
      <c r="L27" s="404">
        <f>I27-J27</f>
        <v>4</v>
      </c>
      <c r="M27" s="407">
        <f>I27-K27</f>
        <v>11</v>
      </c>
      <c r="N27" s="380"/>
    </row>
    <row r="28" spans="1:14" x14ac:dyDescent="0.25">
      <c r="A28" s="375"/>
      <c r="B28" s="406" t="s">
        <v>34</v>
      </c>
      <c r="C28" s="401">
        <f>'4 weeks ago'!K4</f>
        <v>0</v>
      </c>
      <c r="D28" s="401">
        <f>'3 weeks ago'!K4</f>
        <v>0</v>
      </c>
      <c r="E28" s="402">
        <f>'Previous Week'!K4</f>
        <v>0</v>
      </c>
      <c r="F28" s="402">
        <f>'Last Week'!K4</f>
        <v>0</v>
      </c>
      <c r="G28" s="452">
        <f t="shared" si="5"/>
        <v>0</v>
      </c>
      <c r="H28" s="491">
        <f>'2016 Data'!K39</f>
        <v>0.91803278688524592</v>
      </c>
      <c r="I28" s="418">
        <f>'YTD 2017'!K4</f>
        <v>3</v>
      </c>
      <c r="J28" s="401">
        <f>'YTD 2016'!K4</f>
        <v>3</v>
      </c>
      <c r="K28" s="401">
        <f>'YTD 2015'!K4</f>
        <v>4</v>
      </c>
      <c r="L28" s="404">
        <f t="shared" si="6"/>
        <v>0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ago'!B4</f>
        <v>0</v>
      </c>
      <c r="D29" s="401">
        <f>'3 weeks ago'!B4</f>
        <v>2</v>
      </c>
      <c r="E29" s="402">
        <f>'Previous Week'!B4</f>
        <v>0</v>
      </c>
      <c r="F29" s="402">
        <f>'Last Week'!B4</f>
        <v>0</v>
      </c>
      <c r="G29" s="452">
        <f t="shared" si="5"/>
        <v>2</v>
      </c>
      <c r="H29" s="491">
        <f>'2016 Data'!B39</f>
        <v>3.9781420765027322</v>
      </c>
      <c r="I29" s="418">
        <f>'YTD 2017'!B4</f>
        <v>6</v>
      </c>
      <c r="J29" s="401">
        <f>'YTD 2016'!B4</f>
        <v>15</v>
      </c>
      <c r="K29" s="401">
        <f>'YTD 2015'!B4</f>
        <v>15</v>
      </c>
      <c r="L29" s="404">
        <f t="shared" si="6"/>
        <v>-9</v>
      </c>
      <c r="M29" s="407">
        <f t="shared" si="7"/>
        <v>-9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4</v>
      </c>
      <c r="D30" s="420">
        <f t="shared" si="8"/>
        <v>7</v>
      </c>
      <c r="E30" s="420">
        <f t="shared" si="8"/>
        <v>2</v>
      </c>
      <c r="F30" s="421">
        <f t="shared" si="8"/>
        <v>4</v>
      </c>
      <c r="G30" s="455">
        <f t="shared" si="8"/>
        <v>17</v>
      </c>
      <c r="H30" s="494">
        <f t="shared" ref="H30:K30" si="9">SUM(H21:H29)</f>
        <v>29.53005464480874</v>
      </c>
      <c r="I30" s="422">
        <f t="shared" si="9"/>
        <v>83</v>
      </c>
      <c r="J30" s="420">
        <f t="shared" si="9"/>
        <v>121</v>
      </c>
      <c r="K30" s="420">
        <f t="shared" si="9"/>
        <v>98</v>
      </c>
      <c r="L30" s="412">
        <f>(I30-J30)/J30</f>
        <v>-0.31404958677685951</v>
      </c>
      <c r="M30" s="413">
        <f>(I30-K30)/K30</f>
        <v>-0.15306122448979592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4</v>
      </c>
      <c r="D31" s="409">
        <f t="shared" si="10"/>
        <v>7</v>
      </c>
      <c r="E31" s="409">
        <f t="shared" si="10"/>
        <v>2</v>
      </c>
      <c r="F31" s="410">
        <f t="shared" si="10"/>
        <v>6</v>
      </c>
      <c r="G31" s="453">
        <f t="shared" si="10"/>
        <v>19</v>
      </c>
      <c r="H31" s="492">
        <f t="shared" si="10"/>
        <v>33.127359832322774</v>
      </c>
      <c r="I31" s="411">
        <f t="shared" si="10"/>
        <v>93</v>
      </c>
      <c r="J31" s="409">
        <f t="shared" si="10"/>
        <v>134</v>
      </c>
      <c r="K31" s="409">
        <f t="shared" si="10"/>
        <v>105</v>
      </c>
      <c r="L31" s="412">
        <f>(I31-J31)/J31</f>
        <v>-0.30597014925373134</v>
      </c>
      <c r="M31" s="413">
        <f>(I31-K31)/K31</f>
        <v>-0.11428571428571428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-41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2017'!S4</f>
        <v>0</v>
      </c>
      <c r="J41" s="441">
        <f>'YTD 2016'!S4</f>
        <v>0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ago'!T4</f>
        <v>1</v>
      </c>
      <c r="D42" s="447">
        <f>'3 weeks ago'!T4</f>
        <v>1</v>
      </c>
      <c r="E42" s="446">
        <f>'Previous Week'!T4</f>
        <v>0</v>
      </c>
      <c r="F42" s="460">
        <f>'Last Week'!T4</f>
        <v>3</v>
      </c>
      <c r="G42" s="452">
        <f t="shared" si="11"/>
        <v>5</v>
      </c>
      <c r="H42" s="502">
        <f>'2016 Data'!S39</f>
        <v>6.5205479452054789</v>
      </c>
      <c r="I42" s="448">
        <f>'YTD 2017'!T4</f>
        <v>33</v>
      </c>
      <c r="J42" s="446">
        <f>'YTD 2016'!T4</f>
        <v>25</v>
      </c>
      <c r="K42" s="446">
        <f>'YTD 2015'!T4</f>
        <v>27</v>
      </c>
      <c r="L42" s="412">
        <f>(I42-J42)/J42</f>
        <v>0.32</v>
      </c>
      <c r="M42" s="413">
        <f>(I42-K42)/K42</f>
        <v>0.22222222222222221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2" priority="1" stopIfTrue="1" operator="greaterThan">
      <formula>0</formula>
    </cfRule>
  </conditionalFormatting>
  <conditionalFormatting sqref="L32:M32">
    <cfRule type="cellIs" dxfId="10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Data'!F40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8" si="2">SUM(C12:F12)</f>
        <v>0</v>
      </c>
      <c r="H12" s="491">
        <f>'2016 Data'!M40</f>
        <v>0.38251366120218577</v>
      </c>
      <c r="I12" s="403">
        <f>'YTD 2017'!M5</f>
        <v>1</v>
      </c>
      <c r="J12" s="401">
        <f>'YTD 2016'!M5</f>
        <v>2</v>
      </c>
      <c r="K12" s="401">
        <f>'YTD 2015'!M5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6">
        <f>'New Rapes'!E8</f>
        <v>0</v>
      </c>
      <c r="D13" s="556">
        <f>'New Rapes'!D8</f>
        <v>0</v>
      </c>
      <c r="E13" s="555">
        <f>'New Rapes'!C8</f>
        <v>0</v>
      </c>
      <c r="F13" s="555">
        <f>'New Rapes'!B8</f>
        <v>0</v>
      </c>
      <c r="G13" s="452">
        <f t="shared" ref="G13" si="3">SUM(C13:F13)</f>
        <v>0</v>
      </c>
      <c r="H13" s="576">
        <v>7.6712328767123292E-2</v>
      </c>
      <c r="I13" s="557">
        <f>'New Rapes'!G8</f>
        <v>0</v>
      </c>
      <c r="J13" s="556">
        <f>'New Rapes'!H8</f>
        <v>0</v>
      </c>
      <c r="K13" s="556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Data'!D40</f>
        <v>0.15300546448087432</v>
      </c>
      <c r="I14" s="403">
        <f>'YTD 2017'!D5</f>
        <v>1</v>
      </c>
      <c r="J14" s="401">
        <f>'YTD 2016'!D5</f>
        <v>0</v>
      </c>
      <c r="K14" s="401">
        <f>'YTD 2015'!D5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ago'!Q5</f>
        <v>0</v>
      </c>
      <c r="D15" s="401">
        <f>'3 weeks ago'!Q5</f>
        <v>0</v>
      </c>
      <c r="E15" s="402">
        <f>'Previous Week'!Q5</f>
        <v>1</v>
      </c>
      <c r="F15" s="402">
        <f>'Last Week'!Q5</f>
        <v>0</v>
      </c>
      <c r="G15" s="452">
        <f t="shared" si="2"/>
        <v>1</v>
      </c>
      <c r="H15" s="491">
        <f>'2016 Data'!Q40</f>
        <v>0.76502732240437155</v>
      </c>
      <c r="I15" s="403">
        <f>'YTD 2017'!Q5</f>
        <v>2</v>
      </c>
      <c r="J15" s="401">
        <f>'YTD 2016'!Q5</f>
        <v>1</v>
      </c>
      <c r="K15" s="401">
        <f>'YTD 2015'!Q5</f>
        <v>0</v>
      </c>
      <c r="L15" s="404">
        <f t="shared" si="0"/>
        <v>1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ago'!O5</f>
        <v>0</v>
      </c>
      <c r="D16" s="401">
        <f>'3 weeks ago'!O5</f>
        <v>0</v>
      </c>
      <c r="E16" s="402">
        <f>'Previous Week'!O5</f>
        <v>0</v>
      </c>
      <c r="F16" s="402">
        <f>'Last Week'!O5</f>
        <v>0</v>
      </c>
      <c r="G16" s="452">
        <f t="shared" si="2"/>
        <v>0</v>
      </c>
      <c r="H16" s="491">
        <f>'2016 Data'!O40</f>
        <v>0.15300546448087432</v>
      </c>
      <c r="I16" s="403">
        <f>'YTD 2017'!O5</f>
        <v>1</v>
      </c>
      <c r="J16" s="401">
        <f>'YTD 2016'!O5</f>
        <v>2</v>
      </c>
      <c r="K16" s="401">
        <f>'YTD 2015'!O5</f>
        <v>0</v>
      </c>
      <c r="L16" s="404">
        <f t="shared" si="0"/>
        <v>-1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ago'!E5</f>
        <v>0</v>
      </c>
      <c r="D17" s="401">
        <f>'3 weeks ago'!E5</f>
        <v>0</v>
      </c>
      <c r="E17" s="402">
        <f>'Previous Week'!E5</f>
        <v>0</v>
      </c>
      <c r="F17" s="402">
        <f>'Last Week'!E5</f>
        <v>0</v>
      </c>
      <c r="G17" s="452">
        <f t="shared" si="2"/>
        <v>0</v>
      </c>
      <c r="H17" s="491">
        <f>'2016 Data'!E40</f>
        <v>1.2240437158469946</v>
      </c>
      <c r="I17" s="403">
        <f>'YTD 2017'!E5</f>
        <v>2</v>
      </c>
      <c r="J17" s="401">
        <f>'YTD 2016'!E5</f>
        <v>7</v>
      </c>
      <c r="K17" s="401">
        <f>'YTD 2015'!E5</f>
        <v>4</v>
      </c>
      <c r="L17" s="404">
        <f t="shared" si="0"/>
        <v>-5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ago'!J5</f>
        <v>1</v>
      </c>
      <c r="D18" s="401">
        <f>'3 weeks ago'!J5</f>
        <v>0</v>
      </c>
      <c r="E18" s="402">
        <f>'Previous Week'!J5</f>
        <v>1</v>
      </c>
      <c r="F18" s="402">
        <f>'Last Week'!J5</f>
        <v>0</v>
      </c>
      <c r="G18" s="452">
        <f t="shared" si="2"/>
        <v>2</v>
      </c>
      <c r="H18" s="491">
        <f>'2016 Data'!J40</f>
        <v>0.76502732240437155</v>
      </c>
      <c r="I18" s="403">
        <f>'YTD 2017'!J5</f>
        <v>5</v>
      </c>
      <c r="J18" s="401">
        <f>'YTD 2016'!J5</f>
        <v>3</v>
      </c>
      <c r="K18" s="401">
        <f>'YTD 2015'!J5</f>
        <v>3</v>
      </c>
      <c r="L18" s="404">
        <f t="shared" si="0"/>
        <v>2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2</v>
      </c>
      <c r="F19" s="410">
        <f t="shared" si="4"/>
        <v>0</v>
      </c>
      <c r="G19" s="453">
        <f t="shared" si="4"/>
        <v>3</v>
      </c>
      <c r="H19" s="492">
        <f t="shared" si="4"/>
        <v>3.5958380118272322</v>
      </c>
      <c r="I19" s="411">
        <f t="shared" si="4"/>
        <v>13</v>
      </c>
      <c r="J19" s="409">
        <f t="shared" si="4"/>
        <v>15</v>
      </c>
      <c r="K19" s="409">
        <f t="shared" si="4"/>
        <v>7</v>
      </c>
      <c r="L19" s="412">
        <f>(I19-J19)/J19</f>
        <v>-0.13333333333333333</v>
      </c>
      <c r="M19" s="413">
        <f>(I19-K19)/K19</f>
        <v>0.8571428571428571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ago'!C5</f>
        <v>0</v>
      </c>
      <c r="D21" s="401">
        <f>'3 weeks ago'!C5</f>
        <v>0</v>
      </c>
      <c r="E21" s="402">
        <f>'Previous Week'!C5</f>
        <v>0</v>
      </c>
      <c r="F21" s="402">
        <f>'Last Week'!C5</f>
        <v>0</v>
      </c>
      <c r="G21" s="452">
        <f t="shared" ref="G21:G29" si="5">SUM(C21:F21)</f>
        <v>0</v>
      </c>
      <c r="H21" s="491">
        <f>'2016 Data'!C40</f>
        <v>1.0710382513661203</v>
      </c>
      <c r="I21" s="416">
        <f>'YTD 2017'!C5</f>
        <v>6</v>
      </c>
      <c r="J21" s="401">
        <f>'YTD 2016'!C5</f>
        <v>4</v>
      </c>
      <c r="K21" s="401">
        <f>'YTD 2015'!C5</f>
        <v>8</v>
      </c>
      <c r="L21" s="404">
        <f t="shared" ref="L21:L29" si="6">I21-J21</f>
        <v>2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ago'!N5</f>
        <v>1</v>
      </c>
      <c r="D22" s="401">
        <f>'3 weeks ago'!N5</f>
        <v>0</v>
      </c>
      <c r="E22" s="402">
        <f>'Previous Week'!N5</f>
        <v>0</v>
      </c>
      <c r="F22" s="402">
        <f>'Last Week'!N5</f>
        <v>0</v>
      </c>
      <c r="G22" s="452">
        <f t="shared" si="5"/>
        <v>1</v>
      </c>
      <c r="H22" s="491">
        <f>'2016 Data'!N40</f>
        <v>3.1366120218579234</v>
      </c>
      <c r="I22" s="418">
        <f>'YTD 2017'!N5</f>
        <v>13</v>
      </c>
      <c r="J22" s="401">
        <f>'YTD 2016'!N5</f>
        <v>13</v>
      </c>
      <c r="K22" s="401">
        <f>'YTD 2015'!N5</f>
        <v>13</v>
      </c>
      <c r="L22" s="404">
        <f t="shared" si="6"/>
        <v>0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Data'!L40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2</v>
      </c>
      <c r="L23" s="404">
        <f t="shared" si="6"/>
        <v>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ago'!P5</f>
        <v>1</v>
      </c>
      <c r="D24" s="401">
        <f>'3 weeks ago'!P5</f>
        <v>0</v>
      </c>
      <c r="E24" s="402">
        <f>'Previous Week'!P5</f>
        <v>0</v>
      </c>
      <c r="F24" s="402">
        <f>'Last Week'!P5</f>
        <v>1</v>
      </c>
      <c r="G24" s="452">
        <f t="shared" si="5"/>
        <v>2</v>
      </c>
      <c r="H24" s="491">
        <f>'2016 Data'!P40</f>
        <v>1.6065573770491803</v>
      </c>
      <c r="I24" s="418">
        <f>'YTD 2017'!P5</f>
        <v>7</v>
      </c>
      <c r="J24" s="401">
        <f>'YTD 2016'!P5</f>
        <v>4</v>
      </c>
      <c r="K24" s="401">
        <f>'YTD 2015'!P5</f>
        <v>4</v>
      </c>
      <c r="L24" s="404">
        <f t="shared" si="6"/>
        <v>3</v>
      </c>
      <c r="M24" s="407">
        <f t="shared" si="7"/>
        <v>3</v>
      </c>
      <c r="N24" s="380"/>
    </row>
    <row r="25" spans="1:14" x14ac:dyDescent="0.25">
      <c r="A25" s="375"/>
      <c r="B25" s="406" t="s">
        <v>7</v>
      </c>
      <c r="C25" s="401">
        <f>'4 weeks ago'!G5</f>
        <v>0</v>
      </c>
      <c r="D25" s="401">
        <f>'3 weeks ago'!G5</f>
        <v>1</v>
      </c>
      <c r="E25" s="402">
        <f>'Previous Week'!G5</f>
        <v>0</v>
      </c>
      <c r="F25" s="402">
        <f>'Last Week'!G5</f>
        <v>1</v>
      </c>
      <c r="G25" s="452">
        <f t="shared" si="5"/>
        <v>2</v>
      </c>
      <c r="H25" s="491">
        <f>'2016 Data'!G40</f>
        <v>4.2076502732240435</v>
      </c>
      <c r="I25" s="418">
        <f>'YTD 2017'!G5</f>
        <v>9</v>
      </c>
      <c r="J25" s="401">
        <f>'YTD 2016'!G5</f>
        <v>24</v>
      </c>
      <c r="K25" s="401">
        <f>'YTD 2015'!G5</f>
        <v>12</v>
      </c>
      <c r="L25" s="404">
        <f t="shared" si="6"/>
        <v>-15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ago'!I5</f>
        <v>0</v>
      </c>
      <c r="D26" s="401">
        <f>'3 weeks ago'!I5</f>
        <v>0</v>
      </c>
      <c r="E26" s="402">
        <f>'Previous Week'!I5</f>
        <v>1</v>
      </c>
      <c r="F26" s="402">
        <f>'Last Week'!I5</f>
        <v>0</v>
      </c>
      <c r="G26" s="452">
        <f t="shared" si="5"/>
        <v>1</v>
      </c>
      <c r="H26" s="491">
        <f>'2016 Data'!I40</f>
        <v>1.9125683060109291</v>
      </c>
      <c r="I26" s="418">
        <f>'YTD 2017'!I5</f>
        <v>6</v>
      </c>
      <c r="J26" s="401">
        <f>'YTD 2016'!I5</f>
        <v>7</v>
      </c>
      <c r="K26" s="401">
        <f>'YTD 2015'!I5</f>
        <v>8</v>
      </c>
      <c r="L26" s="404">
        <f t="shared" si="6"/>
        <v>-1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ago'!H5</f>
        <v>0</v>
      </c>
      <c r="D27" s="401">
        <f>'3 weeks ago'!H5</f>
        <v>2</v>
      </c>
      <c r="E27" s="402">
        <f>'Previous Week'!H5</f>
        <v>2</v>
      </c>
      <c r="F27" s="402">
        <f>'Last Week'!H5</f>
        <v>0</v>
      </c>
      <c r="G27" s="452">
        <f t="shared" si="5"/>
        <v>4</v>
      </c>
      <c r="H27" s="491">
        <f>'2016 Data'!H40</f>
        <v>2.1420765027322406</v>
      </c>
      <c r="I27" s="418">
        <f>'YTD 2017'!H5</f>
        <v>9</v>
      </c>
      <c r="J27" s="401">
        <f>'YTD 2016'!H5</f>
        <v>8</v>
      </c>
      <c r="K27" s="401">
        <f>'YTD 2015'!H5</f>
        <v>10</v>
      </c>
      <c r="L27" s="404">
        <f>I27-J27</f>
        <v>1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ago'!K5</f>
        <v>0</v>
      </c>
      <c r="D28" s="401">
        <f>'3 weeks ago'!K5</f>
        <v>0</v>
      </c>
      <c r="E28" s="402">
        <f>'Previous Week'!K5</f>
        <v>1</v>
      </c>
      <c r="F28" s="402">
        <f>'Last Week'!K5</f>
        <v>0</v>
      </c>
      <c r="G28" s="452">
        <f t="shared" si="5"/>
        <v>1</v>
      </c>
      <c r="H28" s="491">
        <f>'2016 Data'!K40</f>
        <v>7.650273224043716E-2</v>
      </c>
      <c r="I28" s="418">
        <f>'YTD 2017'!K5</f>
        <v>2</v>
      </c>
      <c r="J28" s="401">
        <f>'YTD 2016'!K5</f>
        <v>0</v>
      </c>
      <c r="K28" s="401">
        <f>'YTD 2015'!K5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ago'!B5</f>
        <v>0</v>
      </c>
      <c r="D29" s="401">
        <f>'3 weeks ago'!B5</f>
        <v>1</v>
      </c>
      <c r="E29" s="402">
        <f>'Previous Week'!B5</f>
        <v>0</v>
      </c>
      <c r="F29" s="402">
        <f>'Last Week'!B5</f>
        <v>0</v>
      </c>
      <c r="G29" s="452">
        <f t="shared" si="5"/>
        <v>1</v>
      </c>
      <c r="H29" s="491">
        <f>'2016 Data'!B40</f>
        <v>2.6775956284153004</v>
      </c>
      <c r="I29" s="418">
        <f>'YTD 2017'!B5</f>
        <v>10</v>
      </c>
      <c r="J29" s="401">
        <f>'YTD 2016'!B5</f>
        <v>11</v>
      </c>
      <c r="K29" s="401">
        <f>'YTD 2015'!B5</f>
        <v>16</v>
      </c>
      <c r="L29" s="404">
        <f t="shared" si="6"/>
        <v>-1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2</v>
      </c>
      <c r="D30" s="420">
        <f t="shared" si="8"/>
        <v>4</v>
      </c>
      <c r="E30" s="420">
        <f t="shared" si="8"/>
        <v>4</v>
      </c>
      <c r="F30" s="421">
        <f t="shared" si="8"/>
        <v>2</v>
      </c>
      <c r="G30" s="455">
        <f t="shared" si="8"/>
        <v>12</v>
      </c>
      <c r="H30" s="494">
        <f t="shared" ref="H30:K30" si="9">SUM(H21:H29)</f>
        <v>17.136612021857921</v>
      </c>
      <c r="I30" s="422">
        <f t="shared" si="9"/>
        <v>63</v>
      </c>
      <c r="J30" s="420">
        <f t="shared" si="9"/>
        <v>71</v>
      </c>
      <c r="K30" s="420">
        <f t="shared" si="9"/>
        <v>74</v>
      </c>
      <c r="L30" s="412">
        <f>(I30-J30)/J30</f>
        <v>-0.11267605633802817</v>
      </c>
      <c r="M30" s="413">
        <f>(I30-K30)/K30</f>
        <v>-0.14864864864864866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3</v>
      </c>
      <c r="D31" s="409">
        <f t="shared" si="10"/>
        <v>4</v>
      </c>
      <c r="E31" s="409">
        <f t="shared" si="10"/>
        <v>6</v>
      </c>
      <c r="F31" s="410">
        <f t="shared" si="10"/>
        <v>2</v>
      </c>
      <c r="G31" s="453">
        <f t="shared" si="10"/>
        <v>15</v>
      </c>
      <c r="H31" s="492">
        <f t="shared" si="10"/>
        <v>20.732450033685154</v>
      </c>
      <c r="I31" s="411">
        <f t="shared" si="10"/>
        <v>76</v>
      </c>
      <c r="J31" s="409">
        <f t="shared" si="10"/>
        <v>86</v>
      </c>
      <c r="K31" s="409">
        <f t="shared" si="10"/>
        <v>81</v>
      </c>
      <c r="L31" s="412">
        <f>(I31-J31)/J31</f>
        <v>-0.11627906976744186</v>
      </c>
      <c r="M31" s="413">
        <f>(I31-K31)/K31</f>
        <v>-6.1728395061728392E-2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ago'!S5</f>
        <v>0</v>
      </c>
      <c r="D41" s="441">
        <f>'3 weeks ago'!S5</f>
        <v>0</v>
      </c>
      <c r="E41" s="441">
        <f>'Previous Week'!S5</f>
        <v>0</v>
      </c>
      <c r="F41" s="442">
        <f>'Last Week'!S5</f>
        <v>0</v>
      </c>
      <c r="G41" s="452">
        <f t="shared" ref="G41:G42" si="11">SUM(C41:F41)</f>
        <v>0</v>
      </c>
      <c r="H41" s="501">
        <f>'2016 Data'!R40</f>
        <v>0.23013698630136983</v>
      </c>
      <c r="I41" s="443">
        <f>'YTD 2017'!S5</f>
        <v>1</v>
      </c>
      <c r="J41" s="441">
        <f>'YTD 2016'!S5</f>
        <v>3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ago'!T5</f>
        <v>1</v>
      </c>
      <c r="D42" s="447">
        <f>'3 weeks ago'!T5</f>
        <v>1</v>
      </c>
      <c r="E42" s="446">
        <f>'Previous Week'!T5</f>
        <v>1</v>
      </c>
      <c r="F42" s="460">
        <f>'Last Week'!T5</f>
        <v>1</v>
      </c>
      <c r="G42" s="452">
        <f t="shared" si="11"/>
        <v>4</v>
      </c>
      <c r="H42" s="502">
        <f>'2016 Data'!S40</f>
        <v>8.5917808219178085</v>
      </c>
      <c r="I42" s="448">
        <f>'YTD 2017'!T5</f>
        <v>22</v>
      </c>
      <c r="J42" s="446">
        <f>'YTD 2016'!T5</f>
        <v>44</v>
      </c>
      <c r="K42" s="446">
        <f>'YTD 2015'!T5</f>
        <v>29</v>
      </c>
      <c r="L42" s="412">
        <f>(I42-J42)/J42</f>
        <v>-0.5</v>
      </c>
      <c r="M42" s="413">
        <f>(I42-K42)/K42</f>
        <v>-0.2413793103448276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0" priority="1" stopIfTrue="1" operator="greaterThan">
      <formula>0</formula>
    </cfRule>
  </conditionalFormatting>
  <conditionalFormatting sqref="L32:M32">
    <cfRule type="cellIs" dxfId="9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Data'!F41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Data'!M41</f>
        <v>0</v>
      </c>
      <c r="I12" s="403">
        <f>'YTD 2017'!M6</f>
        <v>1</v>
      </c>
      <c r="J12" s="401">
        <f>'YTD 2016'!M6</f>
        <v>0</v>
      </c>
      <c r="K12" s="401">
        <f>'YTD 2015'!M6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6">
        <f>'New Rapes'!E9</f>
        <v>0</v>
      </c>
      <c r="D13" s="556">
        <f>'New Rapes'!D9</f>
        <v>0</v>
      </c>
      <c r="E13" s="555">
        <f>'New Rapes'!C9</f>
        <v>0</v>
      </c>
      <c r="F13" s="555">
        <f>'New Rapes'!B9</f>
        <v>0</v>
      </c>
      <c r="G13" s="452">
        <f t="shared" ref="G13" si="3">SUM(C13:F13)</f>
        <v>0</v>
      </c>
      <c r="H13" s="576">
        <v>0.15342465753424658</v>
      </c>
      <c r="I13" s="557">
        <f>'New Rapes'!G9</f>
        <v>1</v>
      </c>
      <c r="J13" s="556">
        <f>'New Rapes'!H9</f>
        <v>1</v>
      </c>
      <c r="K13" s="556">
        <f>'New Rapes'!I9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ago'!D6</f>
        <v>0</v>
      </c>
      <c r="D14" s="401">
        <f>'3 weeks ago'!D6</f>
        <v>0</v>
      </c>
      <c r="E14" s="402">
        <f>'Previous Week'!D6</f>
        <v>0</v>
      </c>
      <c r="F14" s="402">
        <f>'Last Week'!D6</f>
        <v>0</v>
      </c>
      <c r="G14" s="452">
        <f t="shared" si="2"/>
        <v>0</v>
      </c>
      <c r="H14" s="491">
        <f>'2016 Data'!D41</f>
        <v>0.15300546448087432</v>
      </c>
      <c r="I14" s="403">
        <f>'YTD 2017'!D6</f>
        <v>0</v>
      </c>
      <c r="J14" s="401">
        <f>'YTD 2016'!D6</f>
        <v>0</v>
      </c>
      <c r="K14" s="401">
        <f>'YTD 2015'!D6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ago'!Q6</f>
        <v>0</v>
      </c>
      <c r="D15" s="401">
        <f>'3 weeks ago'!Q6</f>
        <v>0</v>
      </c>
      <c r="E15" s="402">
        <f>'Previous Week'!Q6</f>
        <v>1</v>
      </c>
      <c r="F15" s="402">
        <f>'Last Week'!Q6</f>
        <v>0</v>
      </c>
      <c r="G15" s="452">
        <f t="shared" si="2"/>
        <v>1</v>
      </c>
      <c r="H15" s="491">
        <f>'2016 Data'!Q41</f>
        <v>0.38251366120218577</v>
      </c>
      <c r="I15" s="403">
        <f>'YTD 2017'!Q6</f>
        <v>2</v>
      </c>
      <c r="J15" s="401">
        <f>'YTD 2016'!Q6</f>
        <v>0</v>
      </c>
      <c r="K15" s="401">
        <f>'YTD 2015'!Q6</f>
        <v>0</v>
      </c>
      <c r="L15" s="404">
        <f t="shared" si="0"/>
        <v>2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ago'!O6</f>
        <v>0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0</v>
      </c>
      <c r="H16" s="491">
        <f>'2016 Data'!O41</f>
        <v>0.15300546448087432</v>
      </c>
      <c r="I16" s="403">
        <f>'YTD 2017'!O6</f>
        <v>0</v>
      </c>
      <c r="J16" s="401">
        <f>'YTD 2016'!O6</f>
        <v>1</v>
      </c>
      <c r="K16" s="401">
        <f>'YTD 2015'!O6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ago'!E6</f>
        <v>0</v>
      </c>
      <c r="D17" s="401">
        <f>'3 weeks ago'!E6</f>
        <v>0</v>
      </c>
      <c r="E17" s="402">
        <f>'Previous Week'!E6</f>
        <v>0</v>
      </c>
      <c r="F17" s="402">
        <f>'Last Week'!E6</f>
        <v>0</v>
      </c>
      <c r="G17" s="452">
        <f t="shared" si="2"/>
        <v>0</v>
      </c>
      <c r="H17" s="491">
        <f>'2016 Data'!E41</f>
        <v>0.15300546448087432</v>
      </c>
      <c r="I17" s="403">
        <f>'YTD 2017'!E6</f>
        <v>2</v>
      </c>
      <c r="J17" s="401">
        <f>'YTD 2016'!E6</f>
        <v>1</v>
      </c>
      <c r="K17" s="401">
        <f>'YTD 2015'!E6</f>
        <v>0</v>
      </c>
      <c r="L17" s="404">
        <f t="shared" si="0"/>
        <v>1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0</v>
      </c>
      <c r="F18" s="402">
        <f>'Last Week'!J6</f>
        <v>0</v>
      </c>
      <c r="G18" s="452">
        <f t="shared" si="2"/>
        <v>0</v>
      </c>
      <c r="H18" s="491">
        <f>'2016 Data'!J41</f>
        <v>0.45901639344262296</v>
      </c>
      <c r="I18" s="403">
        <f>'YTD 2017'!J6</f>
        <v>0</v>
      </c>
      <c r="J18" s="401">
        <f>'YTD 2016'!J6</f>
        <v>2</v>
      </c>
      <c r="K18" s="401">
        <f>'YTD 2015'!J6</f>
        <v>1</v>
      </c>
      <c r="L18" s="404">
        <f t="shared" si="0"/>
        <v>-2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1.6069765701025525</v>
      </c>
      <c r="I19" s="411">
        <f t="shared" si="4"/>
        <v>6</v>
      </c>
      <c r="J19" s="409">
        <f t="shared" si="4"/>
        <v>5</v>
      </c>
      <c r="K19" s="409">
        <f t="shared" si="4"/>
        <v>1</v>
      </c>
      <c r="L19" s="412">
        <f>(I19-J19)/J19</f>
        <v>0.2</v>
      </c>
      <c r="M19" s="413">
        <f>(I19-K19)/K19</f>
        <v>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Data'!C41</f>
        <v>0.91803278688524592</v>
      </c>
      <c r="I21" s="416">
        <f>'YTD 2017'!C6</f>
        <v>2</v>
      </c>
      <c r="J21" s="401">
        <f>'YTD 2016'!C6</f>
        <v>4</v>
      </c>
      <c r="K21" s="401">
        <f>'YTD 2015'!C6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ago'!N6</f>
        <v>2</v>
      </c>
      <c r="D22" s="401">
        <f>'3 weeks ago'!N6</f>
        <v>0</v>
      </c>
      <c r="E22" s="402">
        <f>'Previous Week'!N6</f>
        <v>3</v>
      </c>
      <c r="F22" s="402">
        <f>'Last Week'!N6</f>
        <v>3</v>
      </c>
      <c r="G22" s="452">
        <f t="shared" si="5"/>
        <v>8</v>
      </c>
      <c r="H22" s="491">
        <f>'2016 Data'!N41</f>
        <v>3.9781420765027322</v>
      </c>
      <c r="I22" s="418">
        <f>'YTD 2017'!N6</f>
        <v>32</v>
      </c>
      <c r="J22" s="401">
        <f>'YTD 2016'!N6</f>
        <v>18</v>
      </c>
      <c r="K22" s="401">
        <f>'YTD 2015'!N6</f>
        <v>11</v>
      </c>
      <c r="L22" s="404">
        <f t="shared" si="6"/>
        <v>14</v>
      </c>
      <c r="M22" s="407">
        <f t="shared" ref="M22:M29" si="7">I22-K22</f>
        <v>21</v>
      </c>
      <c r="N22" s="380"/>
    </row>
    <row r="23" spans="1:14" x14ac:dyDescent="0.25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Data'!L41</f>
        <v>7.650273224043716E-2</v>
      </c>
      <c r="I23" s="418">
        <f>'YTD 2017'!L6</f>
        <v>0</v>
      </c>
      <c r="J23" s="401">
        <f>'YTD 2016'!L6</f>
        <v>0</v>
      </c>
      <c r="K23" s="401">
        <f>'YTD 2015'!L6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ago'!P6</f>
        <v>0</v>
      </c>
      <c r="D24" s="401">
        <f>'3 weeks ago'!P6</f>
        <v>2</v>
      </c>
      <c r="E24" s="402">
        <f>'Previous Week'!P6</f>
        <v>0</v>
      </c>
      <c r="F24" s="402">
        <f>'Last Week'!P6</f>
        <v>0</v>
      </c>
      <c r="G24" s="452">
        <f t="shared" si="5"/>
        <v>2</v>
      </c>
      <c r="H24" s="491">
        <f>'2016 Data'!P41</f>
        <v>0.68852459016393441</v>
      </c>
      <c r="I24" s="418">
        <f>'YTD 2017'!P6</f>
        <v>6</v>
      </c>
      <c r="J24" s="401">
        <f>'YTD 2016'!P6</f>
        <v>3</v>
      </c>
      <c r="K24" s="401">
        <f>'YTD 2015'!P6</f>
        <v>1</v>
      </c>
      <c r="L24" s="404">
        <f t="shared" si="6"/>
        <v>3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ago'!G6</f>
        <v>1</v>
      </c>
      <c r="D25" s="401">
        <f>'3 weeks ago'!G6</f>
        <v>0</v>
      </c>
      <c r="E25" s="402">
        <f>'Previous Week'!G6</f>
        <v>1</v>
      </c>
      <c r="F25" s="402">
        <f>'Last Week'!G6</f>
        <v>1</v>
      </c>
      <c r="G25" s="452">
        <f t="shared" si="5"/>
        <v>3</v>
      </c>
      <c r="H25" s="491">
        <f>'2016 Data'!G41</f>
        <v>3.6721311475409837</v>
      </c>
      <c r="I25" s="418">
        <f>'YTD 2017'!G6</f>
        <v>12</v>
      </c>
      <c r="J25" s="401">
        <f>'YTD 2016'!G6</f>
        <v>11</v>
      </c>
      <c r="K25" s="401">
        <f>'YTD 2015'!G6</f>
        <v>20</v>
      </c>
      <c r="L25" s="404">
        <f t="shared" si="6"/>
        <v>1</v>
      </c>
      <c r="M25" s="407">
        <f t="shared" si="7"/>
        <v>-8</v>
      </c>
      <c r="N25" s="380"/>
    </row>
    <row r="26" spans="1:14" x14ac:dyDescent="0.25">
      <c r="A26" s="375"/>
      <c r="B26" s="406" t="s">
        <v>68</v>
      </c>
      <c r="C26" s="401">
        <f>'4 weeks ago'!I6</f>
        <v>0</v>
      </c>
      <c r="D26" s="401">
        <f>'3 weeks ago'!I6</f>
        <v>1</v>
      </c>
      <c r="E26" s="402">
        <f>'Previous Week'!I6</f>
        <v>1</v>
      </c>
      <c r="F26" s="402">
        <f>'Last Week'!I6</f>
        <v>0</v>
      </c>
      <c r="G26" s="452">
        <f t="shared" si="5"/>
        <v>2</v>
      </c>
      <c r="H26" s="491">
        <f>'2016 Data'!I41</f>
        <v>1.6065573770491803</v>
      </c>
      <c r="I26" s="418">
        <f>'YTD 2017'!I6</f>
        <v>9</v>
      </c>
      <c r="J26" s="401">
        <f>'YTD 2016'!I6</f>
        <v>9</v>
      </c>
      <c r="K26" s="401">
        <f>'YTD 2015'!I6</f>
        <v>7</v>
      </c>
      <c r="L26" s="404">
        <f t="shared" si="6"/>
        <v>0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ago'!H6</f>
        <v>2</v>
      </c>
      <c r="D27" s="401">
        <f>'3 weeks ago'!H6</f>
        <v>3</v>
      </c>
      <c r="E27" s="402">
        <f>'Previous Week'!H6</f>
        <v>0</v>
      </c>
      <c r="F27" s="402">
        <f>'Last Week'!H6</f>
        <v>0</v>
      </c>
      <c r="G27" s="452">
        <f t="shared" si="5"/>
        <v>5</v>
      </c>
      <c r="H27" s="491">
        <f>'2016 Data'!H41</f>
        <v>1.7595628415300546</v>
      </c>
      <c r="I27" s="418">
        <f>'YTD 2017'!H6</f>
        <v>16</v>
      </c>
      <c r="J27" s="401">
        <f>'YTD 2016'!H6</f>
        <v>3</v>
      </c>
      <c r="K27" s="401">
        <f>'YTD 2015'!H6</f>
        <v>8</v>
      </c>
      <c r="L27" s="404">
        <f>I27-J27</f>
        <v>13</v>
      </c>
      <c r="M27" s="407">
        <f>I27-K27</f>
        <v>8</v>
      </c>
      <c r="N27" s="380"/>
    </row>
    <row r="28" spans="1:14" x14ac:dyDescent="0.25">
      <c r="A28" s="375"/>
      <c r="B28" s="406" t="s">
        <v>34</v>
      </c>
      <c r="C28" s="401">
        <f>'4 weeks ago'!K6</f>
        <v>0</v>
      </c>
      <c r="D28" s="401">
        <f>'3 weeks ago'!K6</f>
        <v>0</v>
      </c>
      <c r="E28" s="402">
        <f>'Previous Week'!K6</f>
        <v>1</v>
      </c>
      <c r="F28" s="402">
        <f>'Last Week'!K6</f>
        <v>0</v>
      </c>
      <c r="G28" s="452">
        <f t="shared" si="5"/>
        <v>1</v>
      </c>
      <c r="H28" s="491">
        <f>'2016 Data'!K41</f>
        <v>1.2240437158469946</v>
      </c>
      <c r="I28" s="418">
        <f>'YTD 2017'!K6</f>
        <v>8</v>
      </c>
      <c r="J28" s="401">
        <f>'YTD 2016'!K6</f>
        <v>1</v>
      </c>
      <c r="K28" s="401">
        <f>'YTD 2015'!K6</f>
        <v>5</v>
      </c>
      <c r="L28" s="404">
        <f t="shared" si="6"/>
        <v>7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ago'!B6</f>
        <v>1</v>
      </c>
      <c r="D29" s="401">
        <f>'3 weeks ago'!B6</f>
        <v>1</v>
      </c>
      <c r="E29" s="402">
        <f>'Previous Week'!B6</f>
        <v>0</v>
      </c>
      <c r="F29" s="402">
        <f>'Last Week'!B6</f>
        <v>0</v>
      </c>
      <c r="G29" s="452">
        <f t="shared" si="5"/>
        <v>2</v>
      </c>
      <c r="H29" s="491">
        <f>'2016 Data'!B41</f>
        <v>2.6010928961748636</v>
      </c>
      <c r="I29" s="418">
        <f>'YTD 2017'!B6</f>
        <v>5</v>
      </c>
      <c r="J29" s="401">
        <f>'YTD 2016'!B6</f>
        <v>5</v>
      </c>
      <c r="K29" s="401">
        <f>'YTD 2015'!B6</f>
        <v>10</v>
      </c>
      <c r="L29" s="404">
        <f t="shared" si="6"/>
        <v>0</v>
      </c>
      <c r="M29" s="407">
        <f t="shared" si="7"/>
        <v>-5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6</v>
      </c>
      <c r="D30" s="420">
        <f t="shared" si="8"/>
        <v>7</v>
      </c>
      <c r="E30" s="420">
        <f t="shared" si="8"/>
        <v>6</v>
      </c>
      <c r="F30" s="421">
        <f t="shared" si="8"/>
        <v>4</v>
      </c>
      <c r="G30" s="455">
        <f t="shared" si="8"/>
        <v>23</v>
      </c>
      <c r="H30" s="494">
        <f t="shared" ref="H30:K30" si="9">SUM(H21:H29)</f>
        <v>16.524590163934427</v>
      </c>
      <c r="I30" s="422">
        <f t="shared" si="9"/>
        <v>90</v>
      </c>
      <c r="J30" s="420">
        <f t="shared" si="9"/>
        <v>54</v>
      </c>
      <c r="K30" s="420">
        <f t="shared" si="9"/>
        <v>63</v>
      </c>
      <c r="L30" s="412">
        <f>(I30-J30)/J30</f>
        <v>0.66666666666666663</v>
      </c>
      <c r="M30" s="413">
        <f>(I30-K30)/K30</f>
        <v>0.42857142857142855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6</v>
      </c>
      <c r="D31" s="409">
        <f t="shared" si="10"/>
        <v>7</v>
      </c>
      <c r="E31" s="409">
        <f t="shared" si="10"/>
        <v>7</v>
      </c>
      <c r="F31" s="410">
        <f t="shared" si="10"/>
        <v>4</v>
      </c>
      <c r="G31" s="453">
        <f t="shared" si="10"/>
        <v>24</v>
      </c>
      <c r="H31" s="492">
        <f t="shared" si="10"/>
        <v>18.13156673403698</v>
      </c>
      <c r="I31" s="411">
        <f t="shared" si="10"/>
        <v>96</v>
      </c>
      <c r="J31" s="409">
        <f t="shared" si="10"/>
        <v>59</v>
      </c>
      <c r="K31" s="409">
        <f t="shared" si="10"/>
        <v>64</v>
      </c>
      <c r="L31" s="412">
        <f>(I31-J31)/J31</f>
        <v>0.6271186440677966</v>
      </c>
      <c r="M31" s="413">
        <f>(I31-K31)/K31</f>
        <v>0.5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2017'!S6</f>
        <v>0</v>
      </c>
      <c r="J41" s="441">
        <f>'YTD 2016'!S6</f>
        <v>0</v>
      </c>
      <c r="K41" s="441">
        <f>'YTD 2015'!S6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ago'!T6</f>
        <v>0</v>
      </c>
      <c r="D42" s="447">
        <f>'3 weeks ago'!T6</f>
        <v>1</v>
      </c>
      <c r="E42" s="446">
        <f>'Previous Week'!T6</f>
        <v>3</v>
      </c>
      <c r="F42" s="460">
        <f>'Last Week'!T6</f>
        <v>2</v>
      </c>
      <c r="G42" s="452">
        <f t="shared" si="11"/>
        <v>6</v>
      </c>
      <c r="H42" s="502">
        <f>'2016 Data'!S41</f>
        <v>7.4410958904109599</v>
      </c>
      <c r="I42" s="448">
        <f>'YTD 2017'!T6</f>
        <v>28</v>
      </c>
      <c r="J42" s="446">
        <f>'YTD 2016'!T6</f>
        <v>48</v>
      </c>
      <c r="K42" s="446">
        <f>'YTD 2015'!T6</f>
        <v>33</v>
      </c>
      <c r="L42" s="412">
        <f>(I42-J42)/J42</f>
        <v>-0.41666666666666669</v>
      </c>
      <c r="M42" s="413">
        <f>(I42-K42)/K42</f>
        <v>-0.15151515151515152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8" priority="1" stopIfTrue="1" operator="greaterThan">
      <formula>0</formula>
    </cfRule>
  </conditionalFormatting>
  <conditionalFormatting sqref="L32:M32">
    <cfRule type="cellIs" dxfId="9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Data'!F42</f>
        <v>0.15300546448087432</v>
      </c>
      <c r="I11" s="403">
        <f>'YTD 2017'!F7</f>
        <v>0</v>
      </c>
      <c r="J11" s="401">
        <f>'YTD 2016'!F7</f>
        <v>1</v>
      </c>
      <c r="K11" s="401">
        <f>'YTD 2015'!F7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Data'!M42</f>
        <v>0.15300546448087432</v>
      </c>
      <c r="I12" s="403">
        <f>'YTD 2017'!M7</f>
        <v>0</v>
      </c>
      <c r="J12" s="401">
        <f>'YTD 2016'!M7</f>
        <v>1</v>
      </c>
      <c r="K12" s="401">
        <f>'YTD 2015'!M7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6">
        <f>'New Rapes'!E10</f>
        <v>0</v>
      </c>
      <c r="D13" s="556">
        <f>'New Rapes'!D10</f>
        <v>0</v>
      </c>
      <c r="E13" s="555">
        <f>'New Rapes'!C10</f>
        <v>0</v>
      </c>
      <c r="F13" s="555">
        <f>'New Rapes'!B10</f>
        <v>0</v>
      </c>
      <c r="G13" s="452">
        <f t="shared" ref="G13" si="3">SUM(C13:F13)</f>
        <v>0</v>
      </c>
      <c r="H13" s="576">
        <v>0.38356164383561642</v>
      </c>
      <c r="I13" s="557">
        <f>'New Rapes'!G10</f>
        <v>0</v>
      </c>
      <c r="J13" s="556">
        <f>'New Rapes'!H10</f>
        <v>1</v>
      </c>
      <c r="K13" s="556">
        <f>'New Rapes'!I10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Data'!D42</f>
        <v>0.45901639344262296</v>
      </c>
      <c r="I14" s="403">
        <f>'YTD 2017'!D7</f>
        <v>0</v>
      </c>
      <c r="J14" s="401">
        <f>'YTD 2016'!D7</f>
        <v>2</v>
      </c>
      <c r="K14" s="401">
        <f>'YTD 2015'!D7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ago'!Q7</f>
        <v>0</v>
      </c>
      <c r="D15" s="401">
        <f>'3 weeks ago'!Q7</f>
        <v>0</v>
      </c>
      <c r="E15" s="402">
        <f>'Previous Week'!Q7</f>
        <v>0</v>
      </c>
      <c r="F15" s="402">
        <f>'Last Week'!Q7</f>
        <v>0</v>
      </c>
      <c r="G15" s="452">
        <f t="shared" si="2"/>
        <v>0</v>
      </c>
      <c r="H15" s="491">
        <f>'2016 Data'!Q42</f>
        <v>0.68852459016393441</v>
      </c>
      <c r="I15" s="403">
        <f>'YTD 2017'!Q7</f>
        <v>1</v>
      </c>
      <c r="J15" s="401">
        <f>'YTD 2016'!Q7</f>
        <v>1</v>
      </c>
      <c r="K15" s="401">
        <f>'YTD 2015'!Q7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ago'!O7</f>
        <v>0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0</v>
      </c>
      <c r="H16" s="491">
        <f>'2016 Data'!O42</f>
        <v>0.30601092896174864</v>
      </c>
      <c r="I16" s="403">
        <f>'YTD 2017'!O7</f>
        <v>0</v>
      </c>
      <c r="J16" s="401">
        <f>'YTD 2016'!O7</f>
        <v>3</v>
      </c>
      <c r="K16" s="401">
        <f>'YTD 2015'!O7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ago'!E7</f>
        <v>2</v>
      </c>
      <c r="D17" s="401">
        <f>'3 weeks ago'!E7</f>
        <v>0</v>
      </c>
      <c r="E17" s="402">
        <f>'Previous Week'!E7</f>
        <v>0</v>
      </c>
      <c r="F17" s="402">
        <f>'Last Week'!E7</f>
        <v>1</v>
      </c>
      <c r="G17" s="452">
        <f t="shared" si="2"/>
        <v>3</v>
      </c>
      <c r="H17" s="491">
        <f>'2016 Data'!E42</f>
        <v>0.91803278688524592</v>
      </c>
      <c r="I17" s="403">
        <f>'YTD 2017'!E7</f>
        <v>4</v>
      </c>
      <c r="J17" s="401">
        <f>'YTD 2016'!E7</f>
        <v>3</v>
      </c>
      <c r="K17" s="401">
        <f>'YTD 2015'!E7</f>
        <v>4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Data'!J42</f>
        <v>0.91803278688524592</v>
      </c>
      <c r="I18" s="403">
        <f>'YTD 2017'!J7</f>
        <v>0</v>
      </c>
      <c r="J18" s="401">
        <f>'YTD 2016'!J7</f>
        <v>3</v>
      </c>
      <c r="K18" s="401">
        <f>'YTD 2015'!J7</f>
        <v>2</v>
      </c>
      <c r="L18" s="404">
        <f t="shared" si="0"/>
        <v>-3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3.9791900591361631</v>
      </c>
      <c r="I19" s="411">
        <f t="shared" si="4"/>
        <v>5</v>
      </c>
      <c r="J19" s="409">
        <f t="shared" si="4"/>
        <v>15</v>
      </c>
      <c r="K19" s="409">
        <f t="shared" si="4"/>
        <v>10</v>
      </c>
      <c r="L19" s="412">
        <f>(I19-J19)/J19</f>
        <v>-0.66666666666666663</v>
      </c>
      <c r="M19" s="413">
        <f>(I19-K19)/K19</f>
        <v>-0.5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ago'!C7</f>
        <v>0</v>
      </c>
      <c r="D21" s="401">
        <f>'3 weeks ago'!C7</f>
        <v>0</v>
      </c>
      <c r="E21" s="402">
        <f>'Previous Week'!C7</f>
        <v>0</v>
      </c>
      <c r="F21" s="402">
        <f>'Last Week'!C7</f>
        <v>0</v>
      </c>
      <c r="G21" s="452">
        <f t="shared" ref="G21:G29" si="5">SUM(C21:F21)</f>
        <v>0</v>
      </c>
      <c r="H21" s="491">
        <f>'2016 Data'!C42</f>
        <v>1.3005464480874318</v>
      </c>
      <c r="I21" s="416">
        <f>'YTD 2017'!C7</f>
        <v>2</v>
      </c>
      <c r="J21" s="401">
        <f>'YTD 2016'!C7</f>
        <v>5</v>
      </c>
      <c r="K21" s="401">
        <f>'YTD 2015'!C7</f>
        <v>8</v>
      </c>
      <c r="L21" s="404">
        <f t="shared" ref="L21:L29" si="6">I21-J21</f>
        <v>-3</v>
      </c>
      <c r="M21" s="407">
        <f>I21-K21</f>
        <v>-6</v>
      </c>
      <c r="N21" s="380"/>
    </row>
    <row r="22" spans="1:14" x14ac:dyDescent="0.25">
      <c r="A22" s="375"/>
      <c r="B22" s="417" t="s">
        <v>42</v>
      </c>
      <c r="C22" s="401">
        <f>'4 weeks ago'!N7</f>
        <v>0</v>
      </c>
      <c r="D22" s="401">
        <f>'3 weeks ago'!N7</f>
        <v>1</v>
      </c>
      <c r="E22" s="402">
        <f>'Previous Week'!N7</f>
        <v>0</v>
      </c>
      <c r="F22" s="402">
        <f>'Last Week'!N7</f>
        <v>2</v>
      </c>
      <c r="G22" s="452">
        <f t="shared" si="5"/>
        <v>3</v>
      </c>
      <c r="H22" s="491">
        <f>'2016 Data'!N42</f>
        <v>3.9016393442622945</v>
      </c>
      <c r="I22" s="418">
        <f>'YTD 2017'!N7</f>
        <v>18</v>
      </c>
      <c r="J22" s="401">
        <f>'YTD 2016'!N7</f>
        <v>19</v>
      </c>
      <c r="K22" s="401">
        <f>'YTD 2015'!N7</f>
        <v>12</v>
      </c>
      <c r="L22" s="404">
        <f t="shared" si="6"/>
        <v>-1</v>
      </c>
      <c r="M22" s="407">
        <f t="shared" ref="M22:M29" si="7">I22-K22</f>
        <v>6</v>
      </c>
      <c r="N22" s="380"/>
    </row>
    <row r="23" spans="1:14" x14ac:dyDescent="0.25">
      <c r="A23" s="375"/>
      <c r="B23" s="417" t="s">
        <v>62</v>
      </c>
      <c r="C23" s="401">
        <f>'4 weeks ago'!L7</f>
        <v>0</v>
      </c>
      <c r="D23" s="401">
        <f>'3 weeks ago'!L7</f>
        <v>0</v>
      </c>
      <c r="E23" s="402">
        <f>'Previous Week'!L7</f>
        <v>0</v>
      </c>
      <c r="F23" s="402">
        <f>'Last Week'!L7</f>
        <v>1</v>
      </c>
      <c r="G23" s="452">
        <f t="shared" si="5"/>
        <v>1</v>
      </c>
      <c r="H23" s="491">
        <f>'2016 Data'!L42</f>
        <v>0.22950819672131148</v>
      </c>
      <c r="I23" s="418">
        <f>'YTD 2017'!L7</f>
        <v>1</v>
      </c>
      <c r="J23" s="401">
        <f>'YTD 2016'!L7</f>
        <v>2</v>
      </c>
      <c r="K23" s="401">
        <f>'YTD 2015'!L7</f>
        <v>0</v>
      </c>
      <c r="L23" s="404">
        <f t="shared" si="6"/>
        <v>-1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ago'!P7</f>
        <v>0</v>
      </c>
      <c r="D24" s="401">
        <f>'3 weeks ago'!P7</f>
        <v>0</v>
      </c>
      <c r="E24" s="402">
        <f>'Previous Week'!P7</f>
        <v>0</v>
      </c>
      <c r="F24" s="402">
        <f>'Last Week'!P7</f>
        <v>0</v>
      </c>
      <c r="G24" s="452">
        <f t="shared" si="5"/>
        <v>0</v>
      </c>
      <c r="H24" s="491">
        <f>'2016 Data'!P42</f>
        <v>1.4535519125683061</v>
      </c>
      <c r="I24" s="418">
        <f>'YTD 2017'!P7</f>
        <v>3</v>
      </c>
      <c r="J24" s="401">
        <f>'YTD 2016'!P7</f>
        <v>9</v>
      </c>
      <c r="K24" s="401">
        <f>'YTD 2015'!P7</f>
        <v>1</v>
      </c>
      <c r="L24" s="404">
        <f t="shared" si="6"/>
        <v>-6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ago'!G7</f>
        <v>1</v>
      </c>
      <c r="D25" s="401">
        <f>'3 weeks ago'!G7</f>
        <v>0</v>
      </c>
      <c r="E25" s="402">
        <f>'Previous Week'!G7</f>
        <v>0</v>
      </c>
      <c r="F25" s="402">
        <f>'Last Week'!G7</f>
        <v>0</v>
      </c>
      <c r="G25" s="452">
        <f t="shared" si="5"/>
        <v>1</v>
      </c>
      <c r="H25" s="491">
        <f>'2016 Data'!G42</f>
        <v>2.9071038251366121</v>
      </c>
      <c r="I25" s="418">
        <f>'YTD 2017'!G7</f>
        <v>8</v>
      </c>
      <c r="J25" s="401">
        <f>'YTD 2016'!G7</f>
        <v>20</v>
      </c>
      <c r="K25" s="401">
        <f>'YTD 2015'!G7</f>
        <v>5</v>
      </c>
      <c r="L25" s="404">
        <f t="shared" si="6"/>
        <v>-12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ago'!I7</f>
        <v>1</v>
      </c>
      <c r="D26" s="401">
        <f>'3 weeks ago'!I7</f>
        <v>0</v>
      </c>
      <c r="E26" s="402">
        <f>'Previous Week'!I7</f>
        <v>0</v>
      </c>
      <c r="F26" s="402">
        <f>'Last Week'!I7</f>
        <v>0</v>
      </c>
      <c r="G26" s="452">
        <f t="shared" si="5"/>
        <v>1</v>
      </c>
      <c r="H26" s="491">
        <f>'2016 Data'!I42</f>
        <v>0.99453551912568305</v>
      </c>
      <c r="I26" s="418">
        <f>'YTD 2017'!I7</f>
        <v>6</v>
      </c>
      <c r="J26" s="401">
        <f>'YTD 2016'!I7</f>
        <v>4</v>
      </c>
      <c r="K26" s="401">
        <f>'YTD 2015'!I7</f>
        <v>1</v>
      </c>
      <c r="L26" s="404">
        <f t="shared" si="6"/>
        <v>2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ago'!H7</f>
        <v>0</v>
      </c>
      <c r="D27" s="401">
        <f>'3 weeks ago'!H7</f>
        <v>0</v>
      </c>
      <c r="E27" s="402">
        <f>'Previous Week'!H7</f>
        <v>0</v>
      </c>
      <c r="F27" s="402">
        <f>'Last Week'!H7</f>
        <v>1</v>
      </c>
      <c r="G27" s="452">
        <f t="shared" si="5"/>
        <v>1</v>
      </c>
      <c r="H27" s="491">
        <f>'2016 Data'!H42</f>
        <v>2.2185792349726778</v>
      </c>
      <c r="I27" s="418">
        <f>'YTD 2017'!H7</f>
        <v>6</v>
      </c>
      <c r="J27" s="401">
        <f>'YTD 2016'!H7</f>
        <v>8</v>
      </c>
      <c r="K27" s="401">
        <f>'YTD 2015'!H7</f>
        <v>2</v>
      </c>
      <c r="L27" s="404">
        <f>I27-J27</f>
        <v>-2</v>
      </c>
      <c r="M27" s="407">
        <f>I27-K27</f>
        <v>4</v>
      </c>
      <c r="N27" s="380"/>
    </row>
    <row r="28" spans="1:14" x14ac:dyDescent="0.25">
      <c r="A28" s="375"/>
      <c r="B28" s="406" t="s">
        <v>34</v>
      </c>
      <c r="C28" s="401">
        <f>'4 weeks ago'!K7</f>
        <v>0</v>
      </c>
      <c r="D28" s="401">
        <f>'3 weeks ago'!K7</f>
        <v>0</v>
      </c>
      <c r="E28" s="402">
        <f>'Previous Week'!K7</f>
        <v>0</v>
      </c>
      <c r="F28" s="402">
        <f>'Last Week'!K7</f>
        <v>0</v>
      </c>
      <c r="G28" s="452">
        <f t="shared" si="5"/>
        <v>0</v>
      </c>
      <c r="H28" s="491">
        <f>'2016 Data'!K42</f>
        <v>0.30601092896174864</v>
      </c>
      <c r="I28" s="418">
        <f>'YTD 2017'!K7</f>
        <v>1</v>
      </c>
      <c r="J28" s="401">
        <f>'YTD 2016'!K7</f>
        <v>2</v>
      </c>
      <c r="K28" s="401">
        <f>'YTD 2015'!K7</f>
        <v>0</v>
      </c>
      <c r="L28" s="404">
        <f t="shared" si="6"/>
        <v>-1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ago'!B7</f>
        <v>0</v>
      </c>
      <c r="D29" s="401">
        <f>'3 weeks ago'!B7</f>
        <v>0</v>
      </c>
      <c r="E29" s="402">
        <f>'Previous Week'!B7</f>
        <v>0</v>
      </c>
      <c r="F29" s="402">
        <f>'Last Week'!B7</f>
        <v>0</v>
      </c>
      <c r="G29" s="452">
        <f t="shared" si="5"/>
        <v>0</v>
      </c>
      <c r="H29" s="491">
        <f>'2016 Data'!B42</f>
        <v>1.9125683060109291</v>
      </c>
      <c r="I29" s="418">
        <f>'YTD 2017'!B7</f>
        <v>11</v>
      </c>
      <c r="J29" s="401">
        <f>'YTD 2016'!B7</f>
        <v>8</v>
      </c>
      <c r="K29" s="401">
        <f>'YTD 2015'!B7</f>
        <v>7</v>
      </c>
      <c r="L29" s="404">
        <f t="shared" si="6"/>
        <v>3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2</v>
      </c>
      <c r="D30" s="420">
        <f t="shared" si="8"/>
        <v>1</v>
      </c>
      <c r="E30" s="420">
        <f t="shared" si="8"/>
        <v>0</v>
      </c>
      <c r="F30" s="421">
        <f t="shared" si="8"/>
        <v>4</v>
      </c>
      <c r="G30" s="455">
        <f t="shared" si="8"/>
        <v>7</v>
      </c>
      <c r="H30" s="494">
        <f t="shared" ref="H30:K30" si="9">SUM(H21:H29)</f>
        <v>15.224043715846996</v>
      </c>
      <c r="I30" s="422">
        <f t="shared" si="9"/>
        <v>56</v>
      </c>
      <c r="J30" s="420">
        <f t="shared" si="9"/>
        <v>77</v>
      </c>
      <c r="K30" s="420">
        <f t="shared" si="9"/>
        <v>36</v>
      </c>
      <c r="L30" s="412">
        <f>(I30-J30)/J30</f>
        <v>-0.27272727272727271</v>
      </c>
      <c r="M30" s="413">
        <f>(I30-K30)/K30</f>
        <v>0.55555555555555558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4</v>
      </c>
      <c r="D31" s="409">
        <f t="shared" si="10"/>
        <v>1</v>
      </c>
      <c r="E31" s="409">
        <f t="shared" si="10"/>
        <v>0</v>
      </c>
      <c r="F31" s="410">
        <f t="shared" si="10"/>
        <v>5</v>
      </c>
      <c r="G31" s="453">
        <f t="shared" si="10"/>
        <v>10</v>
      </c>
      <c r="H31" s="492">
        <f t="shared" si="10"/>
        <v>19.203233774983158</v>
      </c>
      <c r="I31" s="411">
        <f t="shared" si="10"/>
        <v>61</v>
      </c>
      <c r="J31" s="409">
        <f t="shared" si="10"/>
        <v>92</v>
      </c>
      <c r="K31" s="409">
        <f t="shared" si="10"/>
        <v>46</v>
      </c>
      <c r="L31" s="412">
        <f>(I31-J31)/J31</f>
        <v>-0.33695652173913043</v>
      </c>
      <c r="M31" s="413">
        <f>(I31-K31)/K31</f>
        <v>0.32608695652173914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Data'!R42</f>
        <v>0</v>
      </c>
      <c r="I41" s="443">
        <f>'YTD 2017'!S7</f>
        <v>0</v>
      </c>
      <c r="J41" s="441">
        <f>'YTD 2016'!S7</f>
        <v>0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ago'!T7</f>
        <v>2</v>
      </c>
      <c r="D42" s="447">
        <f>'3 weeks ago'!T7</f>
        <v>3</v>
      </c>
      <c r="E42" s="446">
        <f>'Previous Week'!T7</f>
        <v>2</v>
      </c>
      <c r="F42" s="460">
        <f>'Last Week'!T7</f>
        <v>3</v>
      </c>
      <c r="G42" s="452">
        <f t="shared" si="11"/>
        <v>10</v>
      </c>
      <c r="H42" s="502">
        <f>'2016 Data'!S42</f>
        <v>8.2082191780821923</v>
      </c>
      <c r="I42" s="448">
        <f>'YTD 2017'!T7</f>
        <v>29</v>
      </c>
      <c r="J42" s="446">
        <f>'YTD 2016'!T7</f>
        <v>36</v>
      </c>
      <c r="K42" s="446">
        <f>'YTD 2015'!T7</f>
        <v>31</v>
      </c>
      <c r="L42" s="412">
        <f>(I42-J42)/J42</f>
        <v>-0.19444444444444445</v>
      </c>
      <c r="M42" s="413">
        <f>(I42-K42)/K42</f>
        <v>-6.4516129032258063E-2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6" priority="1" stopIfTrue="1" operator="greaterThan">
      <formula>0</formula>
    </cfRule>
  </conditionalFormatting>
  <conditionalFormatting sqref="L32:M32">
    <cfRule type="cellIs" dxfId="9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Data'!F43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8" si="2">SUM(C12:F12)</f>
        <v>0</v>
      </c>
      <c r="H12" s="491">
        <f>'2016 Data'!M43</f>
        <v>0.15300546448087432</v>
      </c>
      <c r="I12" s="403">
        <f>'YTD 2017'!M8</f>
        <v>0</v>
      </c>
      <c r="J12" s="401">
        <f>'YTD 2016'!M8</f>
        <v>0</v>
      </c>
      <c r="K12" s="401">
        <f>'YTD 2015'!M8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Rapes'!E11</f>
        <v>0</v>
      </c>
      <c r="D13" s="556">
        <f>'New Rapes'!D11</f>
        <v>1</v>
      </c>
      <c r="E13" s="555">
        <f>'New Rapes'!C11</f>
        <v>0</v>
      </c>
      <c r="F13" s="555">
        <f>'New Rapes'!B11</f>
        <v>0</v>
      </c>
      <c r="G13" s="452">
        <f t="shared" ref="G13" si="3">SUM(C13:F13)</f>
        <v>1</v>
      </c>
      <c r="H13" s="576">
        <v>0</v>
      </c>
      <c r="I13" s="557">
        <f>'New Rapes'!G11</f>
        <v>2</v>
      </c>
      <c r="J13" s="556">
        <f>'New Rapes'!H11</f>
        <v>0</v>
      </c>
      <c r="K13" s="556">
        <f>'New Rapes'!I11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Data'!D43</f>
        <v>7.650273224043716E-2</v>
      </c>
      <c r="I14" s="403">
        <f>'YTD 2017'!D8</f>
        <v>0</v>
      </c>
      <c r="J14" s="401">
        <f>'YTD 2016'!D8</f>
        <v>1</v>
      </c>
      <c r="K14" s="401">
        <f>'YTD 2015'!D8</f>
        <v>2</v>
      </c>
      <c r="L14" s="404">
        <f t="shared" si="0"/>
        <v>-1</v>
      </c>
      <c r="M14" s="407">
        <f t="shared" si="1"/>
        <v>-2</v>
      </c>
      <c r="N14" s="380"/>
    </row>
    <row r="15" spans="1:14" x14ac:dyDescent="0.25">
      <c r="A15" s="375"/>
      <c r="B15" s="406" t="s">
        <v>30</v>
      </c>
      <c r="C15" s="401">
        <f>'4 weeks ago'!Q8</f>
        <v>0</v>
      </c>
      <c r="D15" s="401">
        <f>'3 weeks ago'!Q8</f>
        <v>0</v>
      </c>
      <c r="E15" s="402">
        <f>'Previous Week'!Q8</f>
        <v>0</v>
      </c>
      <c r="F15" s="402">
        <f>'Last Week'!Q8</f>
        <v>0</v>
      </c>
      <c r="G15" s="452">
        <f t="shared" si="2"/>
        <v>0</v>
      </c>
      <c r="H15" s="491">
        <f>'2016 Data'!Q43</f>
        <v>0.38251366120218577</v>
      </c>
      <c r="I15" s="403">
        <f>'YTD 2017'!Q8</f>
        <v>0</v>
      </c>
      <c r="J15" s="401">
        <f>'YTD 2016'!Q8</f>
        <v>3</v>
      </c>
      <c r="K15" s="401">
        <f>'YTD 2015'!Q8</f>
        <v>1</v>
      </c>
      <c r="L15" s="404">
        <f t="shared" si="0"/>
        <v>-3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Data'!O43</f>
        <v>0.38251366120218577</v>
      </c>
      <c r="I16" s="403">
        <f>'YTD 2017'!O8</f>
        <v>1</v>
      </c>
      <c r="J16" s="401">
        <f>'YTD 2016'!O8</f>
        <v>2</v>
      </c>
      <c r="K16" s="401">
        <f>'YTD 2015'!O8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ago'!E8</f>
        <v>0</v>
      </c>
      <c r="D17" s="401">
        <f>'3 weeks ago'!E8</f>
        <v>0</v>
      </c>
      <c r="E17" s="402">
        <f>'Previous Week'!E8</f>
        <v>0</v>
      </c>
      <c r="F17" s="402">
        <f>'Last Week'!E8</f>
        <v>0</v>
      </c>
      <c r="G17" s="452">
        <f t="shared" si="2"/>
        <v>0</v>
      </c>
      <c r="H17" s="491">
        <f>'2016 Data'!E43</f>
        <v>0.45901639344262296</v>
      </c>
      <c r="I17" s="403">
        <f>'YTD 2017'!E8</f>
        <v>0</v>
      </c>
      <c r="J17" s="401">
        <f>'YTD 2016'!E8</f>
        <v>2</v>
      </c>
      <c r="K17" s="401">
        <f>'YTD 2015'!E8</f>
        <v>0</v>
      </c>
      <c r="L17" s="404">
        <f t="shared" si="0"/>
        <v>-2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ago'!J8</f>
        <v>0</v>
      </c>
      <c r="D18" s="401">
        <f>'3 weeks ago'!J8</f>
        <v>1</v>
      </c>
      <c r="E18" s="402">
        <f>'Previous Week'!J8</f>
        <v>0</v>
      </c>
      <c r="F18" s="402">
        <f>'Last Week'!J8</f>
        <v>0</v>
      </c>
      <c r="G18" s="452">
        <f t="shared" si="2"/>
        <v>1</v>
      </c>
      <c r="H18" s="491">
        <f>'2016 Data'!J43</f>
        <v>0.45901639344262296</v>
      </c>
      <c r="I18" s="403">
        <f>'YTD 2017'!J8</f>
        <v>4</v>
      </c>
      <c r="J18" s="401">
        <f>'YTD 2016'!J8</f>
        <v>1</v>
      </c>
      <c r="K18" s="401">
        <f>'YTD 2015'!J8</f>
        <v>2</v>
      </c>
      <c r="L18" s="404">
        <f t="shared" si="0"/>
        <v>3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1.9125683060109291</v>
      </c>
      <c r="I19" s="411">
        <f t="shared" si="4"/>
        <v>8</v>
      </c>
      <c r="J19" s="409">
        <f t="shared" si="4"/>
        <v>9</v>
      </c>
      <c r="K19" s="409">
        <f t="shared" si="4"/>
        <v>6</v>
      </c>
      <c r="L19" s="412">
        <f>(I19-J19)/J19</f>
        <v>-0.1111111111111111</v>
      </c>
      <c r="M19" s="413">
        <f>(I19-K19)/K19</f>
        <v>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ago'!C8</f>
        <v>1</v>
      </c>
      <c r="D21" s="401">
        <f>'3 weeks ago'!C8</f>
        <v>0</v>
      </c>
      <c r="E21" s="402">
        <f>'Previous Week'!C8</f>
        <v>1</v>
      </c>
      <c r="F21" s="402">
        <f>'Last Week'!C8</f>
        <v>0</v>
      </c>
      <c r="G21" s="452">
        <f t="shared" ref="G21:G29" si="5">SUM(C21:F21)</f>
        <v>2</v>
      </c>
      <c r="H21" s="491">
        <f>'2016 Data'!C43</f>
        <v>0.91803278688524592</v>
      </c>
      <c r="I21" s="416">
        <f>'YTD 2017'!C8</f>
        <v>2</v>
      </c>
      <c r="J21" s="401">
        <f>'YTD 2016'!C8</f>
        <v>6</v>
      </c>
      <c r="K21" s="401">
        <f>'YTD 2015'!C8</f>
        <v>0</v>
      </c>
      <c r="L21" s="404">
        <f t="shared" ref="L21:L29" si="6">I21-J21</f>
        <v>-4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ago'!N8</f>
        <v>0</v>
      </c>
      <c r="D22" s="401">
        <f>'3 weeks ago'!N8</f>
        <v>1</v>
      </c>
      <c r="E22" s="402">
        <f>'Previous Week'!N8</f>
        <v>0</v>
      </c>
      <c r="F22" s="402">
        <f>'Last Week'!N8</f>
        <v>0</v>
      </c>
      <c r="G22" s="452">
        <f t="shared" si="5"/>
        <v>1</v>
      </c>
      <c r="H22" s="491">
        <f>'2016 Data'!N43</f>
        <v>3.0601092896174862</v>
      </c>
      <c r="I22" s="418">
        <f>'YTD 2017'!N8</f>
        <v>6</v>
      </c>
      <c r="J22" s="401">
        <f>'YTD 2016'!N8</f>
        <v>8</v>
      </c>
      <c r="K22" s="401">
        <f>'YTD 2015'!N8</f>
        <v>15</v>
      </c>
      <c r="L22" s="404">
        <f t="shared" si="6"/>
        <v>-2</v>
      </c>
      <c r="M22" s="407">
        <f t="shared" ref="M22:M29" si="7">I22-K22</f>
        <v>-9</v>
      </c>
      <c r="N22" s="380"/>
    </row>
    <row r="23" spans="1:14" x14ac:dyDescent="0.25">
      <c r="A23" s="375"/>
      <c r="B23" s="417" t="s">
        <v>62</v>
      </c>
      <c r="C23" s="401">
        <f>'4 weeks ago'!L8</f>
        <v>0</v>
      </c>
      <c r="D23" s="401">
        <f>'3 weeks ago'!L8</f>
        <v>1</v>
      </c>
      <c r="E23" s="402">
        <f>'Previous Week'!L8</f>
        <v>0</v>
      </c>
      <c r="F23" s="402">
        <f>'Last Week'!L8</f>
        <v>0</v>
      </c>
      <c r="G23" s="452">
        <f t="shared" si="5"/>
        <v>1</v>
      </c>
      <c r="H23" s="491">
        <f>'2016 Data'!L43</f>
        <v>7.650273224043716E-2</v>
      </c>
      <c r="I23" s="418">
        <f>'YTD 2017'!L8</f>
        <v>1</v>
      </c>
      <c r="J23" s="401">
        <f>'YTD 2016'!L8</f>
        <v>0</v>
      </c>
      <c r="K23" s="401">
        <f>'YTD 2015'!L8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ago'!P8</f>
        <v>3</v>
      </c>
      <c r="D24" s="401">
        <f>'3 weeks ago'!P8</f>
        <v>0</v>
      </c>
      <c r="E24" s="402">
        <f>'Previous Week'!P8</f>
        <v>4</v>
      </c>
      <c r="F24" s="402">
        <f>'Last Week'!P8</f>
        <v>0</v>
      </c>
      <c r="G24" s="452">
        <f t="shared" si="5"/>
        <v>7</v>
      </c>
      <c r="H24" s="491">
        <f>'2016 Data'!P43</f>
        <v>7.0382513661202184</v>
      </c>
      <c r="I24" s="418">
        <f>'YTD 2017'!P8</f>
        <v>30</v>
      </c>
      <c r="J24" s="401">
        <f>'YTD 2016'!P8</f>
        <v>28</v>
      </c>
      <c r="K24" s="401">
        <f>'YTD 2015'!P8</f>
        <v>54</v>
      </c>
      <c r="L24" s="404">
        <f t="shared" si="6"/>
        <v>2</v>
      </c>
      <c r="M24" s="407">
        <f t="shared" si="7"/>
        <v>-24</v>
      </c>
      <c r="N24" s="380"/>
    </row>
    <row r="25" spans="1:14" x14ac:dyDescent="0.25">
      <c r="A25" s="375"/>
      <c r="B25" s="406" t="s">
        <v>7</v>
      </c>
      <c r="C25" s="401">
        <f>'4 weeks ago'!G8</f>
        <v>0</v>
      </c>
      <c r="D25" s="401">
        <f>'3 weeks ago'!G8</f>
        <v>1</v>
      </c>
      <c r="E25" s="402">
        <f>'Previous Week'!G8</f>
        <v>0</v>
      </c>
      <c r="F25" s="402">
        <f>'Last Week'!G8</f>
        <v>1</v>
      </c>
      <c r="G25" s="452">
        <f t="shared" si="5"/>
        <v>2</v>
      </c>
      <c r="H25" s="491">
        <f>'2016 Data'!G43</f>
        <v>6.2732240437158469</v>
      </c>
      <c r="I25" s="418">
        <f>'YTD 2017'!G8</f>
        <v>9</v>
      </c>
      <c r="J25" s="401">
        <f>'YTD 2016'!G8</f>
        <v>33</v>
      </c>
      <c r="K25" s="401">
        <f>'YTD 2015'!G8</f>
        <v>17</v>
      </c>
      <c r="L25" s="404">
        <f t="shared" si="6"/>
        <v>-24</v>
      </c>
      <c r="M25" s="407">
        <f t="shared" si="7"/>
        <v>-8</v>
      </c>
      <c r="N25" s="380"/>
    </row>
    <row r="26" spans="1:14" x14ac:dyDescent="0.25">
      <c r="A26" s="375"/>
      <c r="B26" s="406" t="s">
        <v>68</v>
      </c>
      <c r="C26" s="401">
        <f>'4 weeks ago'!I8</f>
        <v>1</v>
      </c>
      <c r="D26" s="401">
        <f>'3 weeks ago'!I8</f>
        <v>0</v>
      </c>
      <c r="E26" s="402">
        <f>'Previous Week'!I8</f>
        <v>1</v>
      </c>
      <c r="F26" s="402">
        <f>'Last Week'!I8</f>
        <v>1</v>
      </c>
      <c r="G26" s="452">
        <f t="shared" si="5"/>
        <v>3</v>
      </c>
      <c r="H26" s="491">
        <f>'2016 Data'!I43</f>
        <v>1.3770491803278688</v>
      </c>
      <c r="I26" s="418">
        <f>'YTD 2017'!I8</f>
        <v>5</v>
      </c>
      <c r="J26" s="401">
        <f>'YTD 2016'!I8</f>
        <v>6</v>
      </c>
      <c r="K26" s="401">
        <f>'YTD 2015'!I8</f>
        <v>10</v>
      </c>
      <c r="L26" s="404">
        <f t="shared" si="6"/>
        <v>-1</v>
      </c>
      <c r="M26" s="407">
        <f t="shared" si="7"/>
        <v>-5</v>
      </c>
      <c r="N26" s="380"/>
    </row>
    <row r="27" spans="1:14" x14ac:dyDescent="0.25">
      <c r="A27" s="375"/>
      <c r="B27" s="406" t="s">
        <v>67</v>
      </c>
      <c r="C27" s="401">
        <f>'4 weeks ago'!H8</f>
        <v>1</v>
      </c>
      <c r="D27" s="401">
        <f>'3 weeks ago'!H8</f>
        <v>1</v>
      </c>
      <c r="E27" s="402">
        <f>'Previous Week'!H8</f>
        <v>2</v>
      </c>
      <c r="F27" s="402">
        <f>'Last Week'!H8</f>
        <v>1</v>
      </c>
      <c r="G27" s="452">
        <f t="shared" si="5"/>
        <v>5</v>
      </c>
      <c r="H27" s="491">
        <f>'2016 Data'!H43</f>
        <v>3.7486338797814209</v>
      </c>
      <c r="I27" s="418">
        <f>'YTD 2017'!H8</f>
        <v>16</v>
      </c>
      <c r="J27" s="401">
        <f>'YTD 2016'!H8</f>
        <v>12</v>
      </c>
      <c r="K27" s="401">
        <f>'YTD 2015'!H8</f>
        <v>12</v>
      </c>
      <c r="L27" s="404">
        <f>I27-J27</f>
        <v>4</v>
      </c>
      <c r="M27" s="407">
        <f>I27-K27</f>
        <v>4</v>
      </c>
      <c r="N27" s="380"/>
    </row>
    <row r="28" spans="1:14" x14ac:dyDescent="0.25">
      <c r="A28" s="375"/>
      <c r="B28" s="406" t="s">
        <v>34</v>
      </c>
      <c r="C28" s="401">
        <f>'4 weeks ago'!K8</f>
        <v>0</v>
      </c>
      <c r="D28" s="401">
        <f>'3 weeks ago'!K8</f>
        <v>0</v>
      </c>
      <c r="E28" s="402">
        <f>'Previous Week'!K8</f>
        <v>1</v>
      </c>
      <c r="F28" s="402">
        <f>'Last Week'!K8</f>
        <v>1</v>
      </c>
      <c r="G28" s="452">
        <f t="shared" si="5"/>
        <v>2</v>
      </c>
      <c r="H28" s="491">
        <f>'2016 Data'!K43</f>
        <v>0.45901639344262296</v>
      </c>
      <c r="I28" s="418">
        <f>'YTD 2017'!K8</f>
        <v>5</v>
      </c>
      <c r="J28" s="401">
        <f>'YTD 2016'!K8</f>
        <v>0</v>
      </c>
      <c r="K28" s="401">
        <f>'YTD 2015'!K8</f>
        <v>2</v>
      </c>
      <c r="L28" s="404">
        <f t="shared" si="6"/>
        <v>5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ago'!B8</f>
        <v>1</v>
      </c>
      <c r="D29" s="401">
        <f>'3 weeks ago'!B8</f>
        <v>1</v>
      </c>
      <c r="E29" s="402">
        <f>'Previous Week'!B8</f>
        <v>1</v>
      </c>
      <c r="F29" s="402">
        <f>'Last Week'!B8</f>
        <v>1</v>
      </c>
      <c r="G29" s="452">
        <f t="shared" si="5"/>
        <v>4</v>
      </c>
      <c r="H29" s="491">
        <f>'2016 Data'!B43</f>
        <v>2.9836065573770489</v>
      </c>
      <c r="I29" s="418">
        <f>'YTD 2017'!B8</f>
        <v>13</v>
      </c>
      <c r="J29" s="401">
        <f>'YTD 2016'!B8</f>
        <v>10</v>
      </c>
      <c r="K29" s="401">
        <f>'YTD 2015'!B8</f>
        <v>8</v>
      </c>
      <c r="L29" s="404">
        <f t="shared" si="6"/>
        <v>3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7</v>
      </c>
      <c r="D30" s="420">
        <f t="shared" si="8"/>
        <v>5</v>
      </c>
      <c r="E30" s="420">
        <f t="shared" si="8"/>
        <v>10</v>
      </c>
      <c r="F30" s="421">
        <f t="shared" si="8"/>
        <v>5</v>
      </c>
      <c r="G30" s="455">
        <f t="shared" si="8"/>
        <v>27</v>
      </c>
      <c r="H30" s="494">
        <f t="shared" ref="H30:K30" si="9">SUM(H21:H29)</f>
        <v>25.934426229508194</v>
      </c>
      <c r="I30" s="422">
        <f t="shared" si="9"/>
        <v>87</v>
      </c>
      <c r="J30" s="420">
        <f t="shared" si="9"/>
        <v>103</v>
      </c>
      <c r="K30" s="420">
        <f t="shared" si="9"/>
        <v>118</v>
      </c>
      <c r="L30" s="412">
        <f>(I30-J30)/J30</f>
        <v>-0.1553398058252427</v>
      </c>
      <c r="M30" s="413">
        <f>(I30-K30)/K30</f>
        <v>-0.26271186440677968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7</v>
      </c>
      <c r="D31" s="409">
        <f t="shared" si="10"/>
        <v>7</v>
      </c>
      <c r="E31" s="409">
        <f t="shared" si="10"/>
        <v>10</v>
      </c>
      <c r="F31" s="410">
        <f t="shared" si="10"/>
        <v>5</v>
      </c>
      <c r="G31" s="453">
        <f t="shared" si="10"/>
        <v>29</v>
      </c>
      <c r="H31" s="492">
        <f t="shared" si="10"/>
        <v>27.846994535519123</v>
      </c>
      <c r="I31" s="411">
        <f t="shared" si="10"/>
        <v>95</v>
      </c>
      <c r="J31" s="409">
        <f t="shared" si="10"/>
        <v>112</v>
      </c>
      <c r="K31" s="409">
        <f t="shared" si="10"/>
        <v>124</v>
      </c>
      <c r="L31" s="412">
        <f>(I31-J31)/J31</f>
        <v>-0.15178571428571427</v>
      </c>
      <c r="M31" s="413">
        <f>(I31-K31)/K31</f>
        <v>-0.23387096774193547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Data'!R43</f>
        <v>0</v>
      </c>
      <c r="I41" s="443">
        <f>'YTD 2017'!S8</f>
        <v>0</v>
      </c>
      <c r="J41" s="441">
        <f>'YTD 2016'!S8</f>
        <v>0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ago'!T8</f>
        <v>1</v>
      </c>
      <c r="D42" s="447">
        <f>'3 weeks ago'!T8</f>
        <v>1</v>
      </c>
      <c r="E42" s="446">
        <f>'Previous Week'!T8</f>
        <v>1</v>
      </c>
      <c r="F42" s="460">
        <f>'Last Week'!T8</f>
        <v>0</v>
      </c>
      <c r="G42" s="452">
        <f t="shared" si="11"/>
        <v>3</v>
      </c>
      <c r="H42" s="502">
        <f>'2016 Data'!S43</f>
        <v>6.0602739726027401</v>
      </c>
      <c r="I42" s="448">
        <f>'YTD 2017'!T8</f>
        <v>20</v>
      </c>
      <c r="J42" s="446">
        <f>'YTD 2016'!T8</f>
        <v>27</v>
      </c>
      <c r="K42" s="446">
        <f>'YTD 2015'!T8</f>
        <v>15</v>
      </c>
      <c r="L42" s="412">
        <f>(I42-J42)/J42</f>
        <v>-0.25925925925925924</v>
      </c>
      <c r="M42" s="413">
        <f>(I42-K42)/K42</f>
        <v>0.33333333333333331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4" priority="1" stopIfTrue="1" operator="greaterThan">
      <formula>0</formula>
    </cfRule>
  </conditionalFormatting>
  <conditionalFormatting sqref="L32:M32">
    <cfRule type="cellIs" dxfId="9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topLeftCell="A23" zoomScaleNormal="100" workbookViewId="0">
      <selection activeCell="C42" sqref="C42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3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6" t="s">
        <v>172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0" t="s">
        <v>232</v>
      </c>
      <c r="G5" s="78"/>
      <c r="H5" s="29"/>
      <c r="L5"/>
      <c r="N5" s="27"/>
      <c r="P5" t="s">
        <v>56</v>
      </c>
    </row>
    <row r="6" spans="1:21" ht="14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233</v>
      </c>
      <c r="D10" s="250" t="s">
        <v>222</v>
      </c>
      <c r="E10" s="251" t="s">
        <v>181</v>
      </c>
      <c r="F10" s="252" t="s">
        <v>234</v>
      </c>
      <c r="G10" s="253">
        <v>42826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0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3</v>
      </c>
      <c r="K11" s="2">
        <f>'Beat 21'!K11+'Beat 22'!K11+'Beat 23'!K11+'Beat 24'!K11+'Beat 25'!K11+'Beat 26'!K11</f>
        <v>1</v>
      </c>
      <c r="L11" s="59">
        <f t="shared" ref="L11:L18" si="1">I11-J11</f>
        <v>0</v>
      </c>
      <c r="M11" s="60">
        <f t="shared" ref="M11:M18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1</v>
      </c>
      <c r="G12" s="263">
        <f>'Previous 28 Days'!M4</f>
        <v>2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4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6</v>
      </c>
      <c r="L12" s="59">
        <f t="shared" si="1"/>
        <v>2</v>
      </c>
      <c r="M12" s="61">
        <f t="shared" si="2"/>
        <v>-2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0.26849315068493146</v>
      </c>
      <c r="F13" s="106">
        <f>'Beat 21'!G13+'Beat 22'!G13+'Beat 23'!G13+'Beat 24'!G13+'Beat 25'!G13+'Beat 26'!G13</f>
        <v>0</v>
      </c>
      <c r="G13" s="558">
        <f>'New Rapes'!L7</f>
        <v>2</v>
      </c>
      <c r="H13" s="42">
        <f>'Beat 21'!H13+'Beat 22'!H13+'Beat 23'!H13+'Beat 24'!H13+'Beat 25'!H13+'Beat 26'!H13</f>
        <v>1.0739726027397258</v>
      </c>
      <c r="I13" s="111">
        <f>'Beat 21'!I13+'Beat 22'!I13+'Beat 23'!I13+'Beat 24'!I13+'Beat 25'!I13+'Beat 26'!I13</f>
        <v>3</v>
      </c>
      <c r="J13" s="2">
        <f>'Beat 21'!J13+'Beat 22'!J13+'Beat 23'!J13+'Beat 24'!J13+'Beat 25'!J13+'Beat 26'!J13</f>
        <v>3</v>
      </c>
      <c r="K13" s="2">
        <f>'Beat 21'!K13+'Beat 22'!K13+'Beat 23'!K13+'Beat 24'!K13+'Beat 25'!K13+'Beat 26'!K13</f>
        <v>0</v>
      </c>
      <c r="L13" s="59">
        <f t="shared" ref="L13" si="4">I13-J13</f>
        <v>0</v>
      </c>
      <c r="M13" s="61">
        <f t="shared" ref="M13" si="5">I13-K13</f>
        <v>3</v>
      </c>
      <c r="N13" s="18"/>
    </row>
    <row r="14" spans="1:21" x14ac:dyDescent="0.2">
      <c r="A14" s="19"/>
      <c r="B14" s="10" t="s">
        <v>29</v>
      </c>
      <c r="C14" s="103">
        <f>'Beat 21'!F14+'Beat 22'!F14+'Beat 23'!F14+'Beat 24'!F14+'Beat 25'!F14+'Beat 26'!F14</f>
        <v>0</v>
      </c>
      <c r="D14" s="2">
        <f>'Beat 21'!E14+'Beat 22'!E14+'Beat 23'!E14+'Beat 24'!E14+'Beat 25'!E14+'Beat 26'!E14</f>
        <v>0</v>
      </c>
      <c r="E14" s="42">
        <f t="shared" si="0"/>
        <v>0.13387978142076501</v>
      </c>
      <c r="F14" s="106">
        <f>'Beat 21'!G14+'Beat 22'!G14+'Beat 23'!G14+'Beat 24'!G14+'Beat 25'!G14+'Beat 26'!G14</f>
        <v>0</v>
      </c>
      <c r="G14" s="263">
        <f>'Previous 28 Days'!D4</f>
        <v>0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1</v>
      </c>
      <c r="J14" s="2">
        <f>'Beat 21'!J14+'Beat 22'!J14+'Beat 23'!J14+'Beat 24'!J14+'Beat 25'!J14+'Beat 26'!J14</f>
        <v>3</v>
      </c>
      <c r="K14" s="2">
        <f>'Beat 21'!K14+'Beat 22'!K14+'Beat 23'!K14+'Beat 24'!K14+'Beat 25'!K14+'Beat 26'!K14</f>
        <v>3</v>
      </c>
      <c r="L14" s="59">
        <f t="shared" si="1"/>
        <v>-2</v>
      </c>
      <c r="M14" s="61">
        <f t="shared" si="2"/>
        <v>-2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21'!F15+'Beat 22'!F15+'Beat 23'!F15+'Beat 24'!F15+'Beat 25'!F15+'Beat 26'!F15</f>
        <v>1</v>
      </c>
      <c r="D15" s="2">
        <f>'Beat 21'!E15+'Beat 22'!E15+'Beat 23'!E15+'Beat 24'!E15+'Beat 25'!E15+'Beat 26'!E15</f>
        <v>2</v>
      </c>
      <c r="E15" s="42">
        <f>H15/4</f>
        <v>3.2704918032786887</v>
      </c>
      <c r="F15" s="106">
        <f>'Beat 21'!G15+'Beat 22'!G15+'Beat 23'!G15+'Beat 24'!G15+'Beat 25'!G15+'Beat 26'!G15</f>
        <v>5</v>
      </c>
      <c r="G15" s="263">
        <f>'Previous 28 Days'!Q4</f>
        <v>5</v>
      </c>
      <c r="H15" s="42">
        <f>'Beat 21'!H15+'Beat 22'!H15+'Beat 23'!H15+'Beat 24'!H15+'Beat 25'!H15+'Beat 26'!H15</f>
        <v>13.081967213114755</v>
      </c>
      <c r="I15" s="111">
        <f>'Beat 21'!I15+'Beat 22'!I15+'Beat 23'!I15+'Beat 24'!I15+'Beat 25'!I15+'Beat 26'!I15</f>
        <v>35</v>
      </c>
      <c r="J15" s="2">
        <f>'Beat 21'!J15+'Beat 22'!J15+'Beat 23'!J15+'Beat 24'!J15+'Beat 25'!J15+'Beat 26'!J15</f>
        <v>58</v>
      </c>
      <c r="K15" s="2">
        <f>'Beat 21'!K15+'Beat 22'!K15+'Beat 23'!K15+'Beat 24'!K15+'Beat 25'!K15+'Beat 26'!K15</f>
        <v>28</v>
      </c>
      <c r="L15" s="59">
        <f t="shared" si="1"/>
        <v>-23</v>
      </c>
      <c r="M15" s="61">
        <f t="shared" si="2"/>
        <v>7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0</v>
      </c>
      <c r="G16" s="263">
        <f>'Previous 28 Days'!O4</f>
        <v>0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0</v>
      </c>
      <c r="K16" s="2">
        <f>'Beat 21'!K16+'Beat 22'!K16+'Beat 23'!K16+'Beat 24'!K16+'Beat 25'!K16+'Beat 26'!K16</f>
        <v>3</v>
      </c>
      <c r="L16" s="59">
        <f t="shared" si="1"/>
        <v>1</v>
      </c>
      <c r="M16" s="61">
        <f t="shared" si="2"/>
        <v>-2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21'!F17+'Beat 22'!F17+'Beat 23'!F17+'Beat 24'!F17+'Beat 25'!F17+'Beat 26'!F17</f>
        <v>1</v>
      </c>
      <c r="D17" s="2">
        <f>'Beat 21'!E17+'Beat 22'!E17+'Beat 23'!E17+'Beat 24'!E17+'Beat 25'!E17+'Beat 26'!E17</f>
        <v>3</v>
      </c>
      <c r="E17" s="42">
        <f t="shared" si="0"/>
        <v>1.4153005464480874</v>
      </c>
      <c r="F17" s="106">
        <f>'Beat 21'!G17+'Beat 22'!G17+'Beat 23'!G17+'Beat 24'!G17+'Beat 25'!G17+'Beat 26'!G17</f>
        <v>6</v>
      </c>
      <c r="G17" s="263">
        <f>'Previous 28 Days'!E4</f>
        <v>2</v>
      </c>
      <c r="H17" s="42">
        <f>'Beat 21'!H17+'Beat 22'!H17+'Beat 23'!H17+'Beat 24'!H17+'Beat 25'!H17+'Beat 26'!H17</f>
        <v>5.6612021857923498</v>
      </c>
      <c r="I17" s="111">
        <f>'Beat 21'!I17+'Beat 22'!I17+'Beat 23'!I17+'Beat 24'!I17+'Beat 25'!I17+'Beat 26'!I17</f>
        <v>21</v>
      </c>
      <c r="J17" s="2">
        <f>'Beat 21'!J17+'Beat 22'!J17+'Beat 23'!J17+'Beat 24'!J17+'Beat 25'!J17+'Beat 26'!J17</f>
        <v>27</v>
      </c>
      <c r="K17" s="2">
        <f>'Beat 21'!K17+'Beat 22'!K17+'Beat 23'!K17+'Beat 24'!K17+'Beat 25'!K17+'Beat 26'!K17</f>
        <v>14</v>
      </c>
      <c r="L17" s="59">
        <f t="shared" si="1"/>
        <v>-6</v>
      </c>
      <c r="M17" s="61">
        <f t="shared" si="2"/>
        <v>7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21'!F18+'Beat 22'!F18+'Beat 23'!F18+'Beat 24'!F18+'Beat 25'!F18+'Beat 26'!F18</f>
        <v>1</v>
      </c>
      <c r="D18" s="2">
        <f>'Beat 21'!E18+'Beat 22'!E18+'Beat 23'!E18+'Beat 24'!E18+'Beat 25'!E18+'Beat 26'!E18</f>
        <v>1</v>
      </c>
      <c r="E18" s="42">
        <f t="shared" si="0"/>
        <v>1.3579234972677594</v>
      </c>
      <c r="F18" s="106">
        <f>'Beat 21'!G18+'Beat 22'!G18+'Beat 23'!G18+'Beat 24'!G18+'Beat 25'!G18+'Beat 26'!G18</f>
        <v>7</v>
      </c>
      <c r="G18" s="263">
        <f>'Previous 28 Days'!J4</f>
        <v>3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22</v>
      </c>
      <c r="J18" s="2">
        <f>'Beat 21'!J18+'Beat 22'!J18+'Beat 23'!J18+'Beat 24'!J18+'Beat 25'!J18+'Beat 26'!J18</f>
        <v>16</v>
      </c>
      <c r="K18" s="2">
        <f>'Beat 21'!K18+'Beat 22'!K18+'Beat 23'!K18+'Beat 24'!K18+'Beat 25'!K18+'Beat 26'!K18</f>
        <v>7</v>
      </c>
      <c r="L18" s="59">
        <f t="shared" si="1"/>
        <v>6</v>
      </c>
      <c r="M18" s="61">
        <f t="shared" si="2"/>
        <v>15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>SUM(C11:C18)</f>
        <v>3</v>
      </c>
      <c r="D19" s="12">
        <f>SUM(D11:D18)</f>
        <v>6</v>
      </c>
      <c r="E19" s="43">
        <f t="shared" ref="E19:K19" si="7">SUM(E11:E18)</f>
        <v>6.8668538064226361</v>
      </c>
      <c r="F19" s="110">
        <f t="shared" si="7"/>
        <v>19</v>
      </c>
      <c r="G19" s="70">
        <f t="shared" si="7"/>
        <v>14</v>
      </c>
      <c r="H19" s="43">
        <f t="shared" si="7"/>
        <v>27.467415225690544</v>
      </c>
      <c r="I19" s="104">
        <f t="shared" si="7"/>
        <v>90</v>
      </c>
      <c r="J19" s="12">
        <f t="shared" si="7"/>
        <v>112</v>
      </c>
      <c r="K19" s="46">
        <f t="shared" si="7"/>
        <v>62</v>
      </c>
      <c r="L19" s="64">
        <f>(I19-J19)/J19</f>
        <v>-0.19642857142857142</v>
      </c>
      <c r="M19" s="55">
        <f>(I19-K19)/K19</f>
        <v>0.45161290322580644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21'!F21+'Beat 22'!F21+'Beat 23'!F21+'Beat 24'!F21+'Beat 25'!F21+'Beat 26'!F21</f>
        <v>0</v>
      </c>
      <c r="D21" s="2">
        <f>'Beat 21'!E21+'Beat 22'!E21+'Beat 23'!E21+'Beat 24'!E21+'Beat 25'!E21+'Beat 26'!E21</f>
        <v>0</v>
      </c>
      <c r="E21" s="42">
        <f>H21/4</f>
        <v>1.2622950819672132</v>
      </c>
      <c r="F21" s="106">
        <f>'Beat 21'!G21+'Beat 22'!G21+'Beat 23'!G21+'Beat 24'!G21+'Beat 25'!G21+'Beat 26'!G21</f>
        <v>2</v>
      </c>
      <c r="G21" s="263">
        <f>'Previous 28 Days'!C4</f>
        <v>3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12</v>
      </c>
      <c r="J21" s="2">
        <f>'Beat 21'!J21+'Beat 22'!J21+'Beat 23'!J21+'Beat 24'!J21+'Beat 25'!J21+'Beat 26'!J21</f>
        <v>15</v>
      </c>
      <c r="K21" s="2">
        <f>'Beat 21'!K21+'Beat 22'!K21+'Beat 23'!K21+'Beat 24'!K21+'Beat 25'!K21+'Beat 26'!K21</f>
        <v>7</v>
      </c>
      <c r="L21" s="59">
        <f t="shared" ref="L21:L29" si="8">I21-J21</f>
        <v>-3</v>
      </c>
      <c r="M21" s="61">
        <f>I21-K21</f>
        <v>5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21'!F22+'Beat 22'!F22+'Beat 23'!F22+'Beat 24'!F22+'Beat 25'!F22+'Beat 26'!F22</f>
        <v>3</v>
      </c>
      <c r="D22" s="2">
        <f>'Beat 21'!E22+'Beat 22'!E22+'Beat 23'!E22+'Beat 24'!E22+'Beat 25'!E22+'Beat 26'!E22</f>
        <v>3</v>
      </c>
      <c r="E22" s="42">
        <f t="shared" ref="E22:E29" si="10">H22/4</f>
        <v>2.7540983606557381</v>
      </c>
      <c r="F22" s="106">
        <f>'Beat 21'!G22+'Beat 22'!G22+'Beat 23'!G22+'Beat 24'!G22+'Beat 25'!G22+'Beat 26'!G22</f>
        <v>7</v>
      </c>
      <c r="G22" s="263">
        <f>'Previous 28 Days'!N4</f>
        <v>6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26</v>
      </c>
      <c r="J22" s="2">
        <f>'Beat 21'!J22+'Beat 22'!J22+'Beat 23'!J22+'Beat 24'!J22+'Beat 25'!J22+'Beat 26'!J22</f>
        <v>46</v>
      </c>
      <c r="K22" s="2">
        <f>'Beat 21'!K22+'Beat 22'!K22+'Beat 23'!K22+'Beat 24'!K22+'Beat 25'!K22+'Beat 26'!K22</f>
        <v>34</v>
      </c>
      <c r="L22" s="59">
        <f t="shared" si="8"/>
        <v>-20</v>
      </c>
      <c r="M22" s="61">
        <f t="shared" ref="M22:M29" si="11">I22-K22</f>
        <v>-8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21'!F23+'Beat 22'!F23+'Beat 23'!F23+'Beat 24'!F23+'Beat 25'!F23+'Beat 26'!F23</f>
        <v>1</v>
      </c>
      <c r="D23" s="2">
        <f>'Beat 21'!E23+'Beat 22'!E23+'Beat 23'!E23+'Beat 24'!E23+'Beat 25'!E23+'Beat 26'!E23</f>
        <v>0</v>
      </c>
      <c r="E23" s="42">
        <f>H23/4</f>
        <v>1.0136612021857925</v>
      </c>
      <c r="F23" s="106">
        <f>'Beat 21'!G23+'Beat 22'!G23+'Beat 23'!G23+'Beat 24'!G23+'Beat 25'!G23+'Beat 26'!G23</f>
        <v>3</v>
      </c>
      <c r="G23" s="263">
        <f>'Previous 28 Days'!L4</f>
        <v>5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18</v>
      </c>
      <c r="J23" s="2">
        <f>'Beat 21'!J23+'Beat 22'!J23+'Beat 23'!J23+'Beat 24'!J23+'Beat 25'!J23+'Beat 26'!J23</f>
        <v>19</v>
      </c>
      <c r="K23" s="2">
        <f>'Beat 21'!K23+'Beat 22'!K23+'Beat 23'!K23+'Beat 24'!K23+'Beat 25'!K23+'Beat 26'!K23</f>
        <v>16</v>
      </c>
      <c r="L23" s="59">
        <f t="shared" si="8"/>
        <v>-1</v>
      </c>
      <c r="M23" s="61">
        <f t="shared" si="11"/>
        <v>2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21" t="s">
        <v>33</v>
      </c>
      <c r="C24" s="103">
        <f>'Beat 21'!F24+'Beat 22'!F24+'Beat 23'!F24+'Beat 24'!F24+'Beat 25'!F24+'Beat 26'!F24</f>
        <v>3</v>
      </c>
      <c r="D24" s="2">
        <f>'Beat 21'!E24+'Beat 22'!E24+'Beat 23'!E24+'Beat 24'!E24+'Beat 25'!E24+'Beat 26'!E24</f>
        <v>1</v>
      </c>
      <c r="E24" s="42">
        <f t="shared" si="10"/>
        <v>4.6284153005464477</v>
      </c>
      <c r="F24" s="106">
        <f>'Beat 21'!G24+'Beat 22'!G24+'Beat 23'!G24+'Beat 24'!G24+'Beat 25'!G24+'Beat 26'!G24</f>
        <v>14</v>
      </c>
      <c r="G24" s="263">
        <f>'Previous 28 Days'!P4</f>
        <v>16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70</v>
      </c>
      <c r="J24" s="2">
        <f>'Beat 21'!J24+'Beat 22'!J24+'Beat 23'!J24+'Beat 24'!J24+'Beat 25'!J24+'Beat 26'!J24</f>
        <v>64</v>
      </c>
      <c r="K24" s="2">
        <f>'Beat 21'!K24+'Beat 22'!K24+'Beat 23'!K24+'Beat 24'!K24+'Beat 25'!K24+'Beat 26'!K24</f>
        <v>71</v>
      </c>
      <c r="L24" s="59">
        <f t="shared" si="8"/>
        <v>6</v>
      </c>
      <c r="M24" s="61">
        <f t="shared" si="11"/>
        <v>-1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">
      <c r="A25" s="19"/>
      <c r="B25" s="10" t="s">
        <v>7</v>
      </c>
      <c r="C25" s="103">
        <f>'Beat 21'!F25+'Beat 22'!F25+'Beat 23'!F25+'Beat 24'!F25+'Beat 25'!F25+'Beat 26'!F25</f>
        <v>8</v>
      </c>
      <c r="D25" s="2">
        <f>'Beat 21'!E25+'Beat 22'!E25+'Beat 23'!E25+'Beat 24'!E25+'Beat 25'!E25+'Beat 26'!E25</f>
        <v>4</v>
      </c>
      <c r="E25" s="42">
        <f>H25/4</f>
        <v>10.538251366120218</v>
      </c>
      <c r="F25" s="106">
        <f>'Beat 21'!G25+'Beat 22'!G25+'Beat 23'!G25+'Beat 24'!G25+'Beat 25'!G25+'Beat 26'!G25</f>
        <v>22</v>
      </c>
      <c r="G25" s="263">
        <f>'Previous 28 Days'!G4</f>
        <v>21</v>
      </c>
      <c r="H25" s="42">
        <f>'Beat 21'!H25+'Beat 22'!H25+'Beat 23'!H25+'Beat 24'!H25+'Beat 25'!H25+'Beat 26'!H25</f>
        <v>42.15300546448087</v>
      </c>
      <c r="I25" s="111">
        <f>'Beat 21'!I25+'Beat 22'!I25+'Beat 23'!I25+'Beat 24'!I25+'Beat 25'!I25+'Beat 26'!I25</f>
        <v>145</v>
      </c>
      <c r="J25" s="2">
        <f>'Beat 21'!J25+'Beat 22'!J25+'Beat 23'!J25+'Beat 24'!J25+'Beat 25'!J25+'Beat 26'!J25</f>
        <v>192</v>
      </c>
      <c r="K25" s="2">
        <f>'Beat 21'!K25+'Beat 22'!K25+'Beat 23'!K25+'Beat 24'!K25+'Beat 25'!K25+'Beat 26'!K25</f>
        <v>111</v>
      </c>
      <c r="L25" s="59">
        <f t="shared" si="8"/>
        <v>-47</v>
      </c>
      <c r="M25" s="61">
        <f t="shared" si="11"/>
        <v>34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">
      <c r="A26" s="19"/>
      <c r="B26" s="10" t="s">
        <v>68</v>
      </c>
      <c r="C26" s="103">
        <f>'Beat 21'!F26+'Beat 22'!F26+'Beat 23'!F26+'Beat 24'!F26+'Beat 25'!F26+'Beat 26'!F26</f>
        <v>5</v>
      </c>
      <c r="D26" s="2">
        <f>'Beat 21'!E26+'Beat 22'!E26+'Beat 23'!E26+'Beat 24'!E26+'Beat 25'!E26+'Beat 26'!E26</f>
        <v>4</v>
      </c>
      <c r="E26" s="42">
        <f t="shared" si="10"/>
        <v>3.9016393442622945</v>
      </c>
      <c r="F26" s="106">
        <f>'Beat 21'!G26+'Beat 22'!G26+'Beat 23'!G26+'Beat 24'!G26+'Beat 25'!G26+'Beat 26'!G26</f>
        <v>18</v>
      </c>
      <c r="G26" s="263">
        <f>'Previous 28 Days'!I4</f>
        <v>27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79</v>
      </c>
      <c r="J26" s="2">
        <f>'Beat 21'!J26+'Beat 22'!J26+'Beat 23'!J26+'Beat 24'!J26+'Beat 25'!J26+'Beat 26'!J26</f>
        <v>57</v>
      </c>
      <c r="K26" s="2">
        <f>'Beat 21'!K26+'Beat 22'!K26+'Beat 23'!K26+'Beat 24'!K26+'Beat 25'!K26+'Beat 26'!K26</f>
        <v>57</v>
      </c>
      <c r="L26" s="59">
        <f t="shared" si="8"/>
        <v>22</v>
      </c>
      <c r="M26" s="61">
        <f t="shared" si="11"/>
        <v>22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">
      <c r="A27" s="19"/>
      <c r="B27" s="10" t="s">
        <v>67</v>
      </c>
      <c r="C27" s="103">
        <f>'Beat 21'!F27+'Beat 22'!F27+'Beat 23'!F27+'Beat 24'!F27+'Beat 25'!F27+'Beat 26'!F27</f>
        <v>5</v>
      </c>
      <c r="D27" s="2">
        <f>'Beat 21'!E27+'Beat 22'!E27+'Beat 23'!E27+'Beat 24'!E27+'Beat 25'!E27+'Beat 26'!E27</f>
        <v>4</v>
      </c>
      <c r="E27" s="42">
        <f>H27/4</f>
        <v>5.2595628415300544</v>
      </c>
      <c r="F27" s="106">
        <f>'Beat 21'!G27+'Beat 22'!G27+'Beat 23'!G27+'Beat 24'!G27+'Beat 25'!G27+'Beat 26'!G27</f>
        <v>15</v>
      </c>
      <c r="G27" s="263">
        <f>'Previous 28 Days'!H4</f>
        <v>18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77</v>
      </c>
      <c r="J27" s="2">
        <f>'Beat 21'!J27+'Beat 22'!J27+'Beat 23'!J27+'Beat 24'!J27+'Beat 25'!J27+'Beat 26'!J27</f>
        <v>99</v>
      </c>
      <c r="K27" s="2">
        <f>'Beat 21'!K27+'Beat 22'!K27+'Beat 23'!K27+'Beat 24'!K27+'Beat 25'!K27+'Beat 26'!K27</f>
        <v>75</v>
      </c>
      <c r="L27" s="59">
        <f>I27-J27</f>
        <v>-22</v>
      </c>
      <c r="M27" s="61">
        <f>I27-K27</f>
        <v>2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">
      <c r="A28" s="19"/>
      <c r="B28" s="10" t="s">
        <v>34</v>
      </c>
      <c r="C28" s="103">
        <f>'Beat 21'!F28+'Beat 22'!F28+'Beat 23'!F28+'Beat 24'!F28+'Beat 25'!F28+'Beat 26'!F28</f>
        <v>0</v>
      </c>
      <c r="D28" s="2">
        <f>'Beat 21'!E28+'Beat 22'!E28+'Beat 23'!E28+'Beat 24'!E28+'Beat 25'!E28+'Beat 26'!E28</f>
        <v>3</v>
      </c>
      <c r="E28" s="42">
        <f t="shared" si="10"/>
        <v>0.61202185792349728</v>
      </c>
      <c r="F28" s="106">
        <f>'Beat 21'!G28+'Beat 22'!G28+'Beat 23'!G28+'Beat 24'!G28+'Beat 25'!G28+'Beat 26'!G28</f>
        <v>4</v>
      </c>
      <c r="G28" s="263">
        <f>'Previous 28 Days'!K4</f>
        <v>4</v>
      </c>
      <c r="H28" s="42">
        <f>'Beat 21'!H28+'Beat 22'!H28+'Beat 23'!H28+'Beat 24'!H28+'Beat 25'!H28+'Beat 26'!H28</f>
        <v>2.4480874316939891</v>
      </c>
      <c r="I28" s="111">
        <f>'Beat 21'!I28+'Beat 22'!I28+'Beat 23'!I28+'Beat 24'!I28+'Beat 25'!I28+'Beat 26'!I28</f>
        <v>10</v>
      </c>
      <c r="J28" s="2">
        <f>'Beat 21'!J28+'Beat 22'!J28+'Beat 23'!J28+'Beat 24'!J28+'Beat 25'!J28+'Beat 26'!J28</f>
        <v>13</v>
      </c>
      <c r="K28" s="2">
        <f>'Beat 21'!K28+'Beat 22'!K28+'Beat 23'!K28+'Beat 24'!K28+'Beat 25'!K28+'Beat 26'!K28</f>
        <v>5</v>
      </c>
      <c r="L28" s="59">
        <f t="shared" si="8"/>
        <v>-3</v>
      </c>
      <c r="M28" s="61">
        <f t="shared" si="11"/>
        <v>5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">
      <c r="A29" s="19"/>
      <c r="B29" s="10" t="s">
        <v>8</v>
      </c>
      <c r="C29" s="103">
        <f>'Beat 21'!F29+'Beat 22'!F29+'Beat 23'!F29+'Beat 24'!F29+'Beat 25'!F29+'Beat 26'!F29</f>
        <v>1</v>
      </c>
      <c r="D29" s="2">
        <f>'Beat 21'!E29+'Beat 22'!E29+'Beat 23'!E29+'Beat 24'!E29+'Beat 25'!E29+'Beat 26'!E29</f>
        <v>2</v>
      </c>
      <c r="E29" s="42">
        <f t="shared" si="10"/>
        <v>4.0355191256830603</v>
      </c>
      <c r="F29" s="106">
        <f>'Beat 21'!G29+'Beat 22'!G29+'Beat 23'!G29+'Beat 24'!G29+'Beat 25'!G29+'Beat 26'!G29</f>
        <v>11</v>
      </c>
      <c r="G29" s="263">
        <f>'Previous 28 Days'!B4</f>
        <v>18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56</v>
      </c>
      <c r="J29" s="2">
        <f>'Beat 21'!J29+'Beat 22'!J29+'Beat 23'!J29+'Beat 24'!J29+'Beat 25'!J29+'Beat 26'!J29</f>
        <v>63</v>
      </c>
      <c r="K29" s="2">
        <f>'Beat 21'!K29+'Beat 22'!K29+'Beat 23'!K29+'Beat 24'!K29+'Beat 25'!K29+'Beat 26'!K29</f>
        <v>49</v>
      </c>
      <c r="L29" s="59">
        <f t="shared" si="8"/>
        <v>-7</v>
      </c>
      <c r="M29" s="61">
        <f t="shared" si="11"/>
        <v>7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">
      <c r="A30" s="19"/>
      <c r="B30" s="14" t="s">
        <v>5</v>
      </c>
      <c r="C30" s="108">
        <f>SUM(C21:C29)</f>
        <v>26</v>
      </c>
      <c r="D30" s="13">
        <f>SUM(D21:D29)</f>
        <v>21</v>
      </c>
      <c r="E30" s="44">
        <f t="shared" ref="E30:K30" si="12">SUM(E21:E29)</f>
        <v>34.005464480874316</v>
      </c>
      <c r="F30" s="108">
        <f t="shared" si="12"/>
        <v>96</v>
      </c>
      <c r="G30" s="13">
        <f t="shared" si="12"/>
        <v>118</v>
      </c>
      <c r="H30" s="44">
        <f t="shared" si="12"/>
        <v>136.02185792349727</v>
      </c>
      <c r="I30" s="108">
        <f t="shared" si="12"/>
        <v>493</v>
      </c>
      <c r="J30" s="13">
        <f t="shared" si="12"/>
        <v>568</v>
      </c>
      <c r="K30" s="47">
        <f t="shared" si="12"/>
        <v>425</v>
      </c>
      <c r="L30" s="64">
        <f>(I30-J30)/J30</f>
        <v>-0.13204225352112675</v>
      </c>
      <c r="M30" s="65">
        <f>(I30-K30)/K30</f>
        <v>0.16</v>
      </c>
      <c r="N30" s="18"/>
    </row>
    <row r="31" spans="1:24" ht="13.5" thickBot="1" x14ac:dyDescent="0.25">
      <c r="A31" s="19"/>
      <c r="B31" s="11" t="s">
        <v>6</v>
      </c>
      <c r="C31" s="104">
        <f>C30+C19</f>
        <v>29</v>
      </c>
      <c r="D31" s="12">
        <f>D30+D19</f>
        <v>27</v>
      </c>
      <c r="E31" s="45">
        <f>E19+E30</f>
        <v>40.872318287296949</v>
      </c>
      <c r="F31" s="104">
        <f>F30+F19</f>
        <v>115</v>
      </c>
      <c r="G31" s="12">
        <f>G30+G19</f>
        <v>132</v>
      </c>
      <c r="H31" s="45">
        <f>H19+H30</f>
        <v>163.4892731491878</v>
      </c>
      <c r="I31" s="104">
        <f>I30+I19</f>
        <v>583</v>
      </c>
      <c r="J31" s="12">
        <f>J30+J19</f>
        <v>680</v>
      </c>
      <c r="K31" s="46">
        <f>K30+K19</f>
        <v>487</v>
      </c>
      <c r="L31" s="64">
        <f>(I31-J31)/J31</f>
        <v>-0.1426470588235294</v>
      </c>
      <c r="M31" s="65">
        <f>(I31-K31)/K31</f>
        <v>0.1971252566735113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-97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199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233</v>
      </c>
      <c r="D40" s="250" t="s">
        <v>222</v>
      </c>
      <c r="E40" s="96" t="s">
        <v>181</v>
      </c>
      <c r="F40" s="95" t="s">
        <v>234</v>
      </c>
      <c r="G40" s="253">
        <v>42826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service'!C6</f>
        <v>109</v>
      </c>
      <c r="D41" s="71">
        <f>+'Calls for service'!C14</f>
        <v>123</v>
      </c>
      <c r="E41" s="66">
        <f>+'Calls for service'!C30</f>
        <v>121.01369863013699</v>
      </c>
      <c r="F41" s="71">
        <f>+'Calls for service'!M6</f>
        <v>432</v>
      </c>
      <c r="G41" s="71">
        <f>+'Calls for service'!M14</f>
        <v>446</v>
      </c>
      <c r="H41" s="66">
        <f>+'Calls for service'!M30</f>
        <v>484.05479452054794</v>
      </c>
      <c r="I41" s="71">
        <f>+'Calls for service'!W22</f>
        <v>1889</v>
      </c>
      <c r="J41" s="71">
        <f>+'Calls for service'!W14</f>
        <v>1951</v>
      </c>
      <c r="K41" s="206">
        <f>+'Calls for service'!W30</f>
        <v>1922.6666666666667</v>
      </c>
      <c r="L41" s="91">
        <f>+I41-J41</f>
        <v>-62</v>
      </c>
      <c r="M41" s="56">
        <f>+I41-K41</f>
        <v>-33.666666666666742</v>
      </c>
      <c r="N41" s="18"/>
    </row>
    <row r="42" spans="1:14" x14ac:dyDescent="0.2">
      <c r="A42" s="19"/>
      <c r="B42" s="10" t="s">
        <v>52</v>
      </c>
      <c r="C42" s="90">
        <f>+'Calls for service'!C5</f>
        <v>211</v>
      </c>
      <c r="D42" s="71">
        <f>+'Calls for service'!C13</f>
        <v>207</v>
      </c>
      <c r="E42" s="67">
        <f>+'Calls for service'!C29</f>
        <v>232.86027397260273</v>
      </c>
      <c r="F42" s="71">
        <f>+'Calls for service'!M5</f>
        <v>818</v>
      </c>
      <c r="G42" s="71">
        <f>+'Calls for service'!M13</f>
        <v>848</v>
      </c>
      <c r="H42" s="67">
        <f>+'Calls for service'!M29</f>
        <v>931.44109589041091</v>
      </c>
      <c r="I42" s="71">
        <f>+'Calls for service'!W21</f>
        <v>3492</v>
      </c>
      <c r="J42" s="71">
        <f>+'Calls for service'!W13</f>
        <v>3660</v>
      </c>
      <c r="K42" s="72">
        <f>+'Calls for service'!W29</f>
        <v>3685.3333333333335</v>
      </c>
      <c r="L42" s="76">
        <f>+I42-J42</f>
        <v>-168</v>
      </c>
      <c r="M42" s="53">
        <f>+I42-K42</f>
        <v>-193.33333333333348</v>
      </c>
      <c r="N42" s="18"/>
    </row>
    <row r="43" spans="1:14" x14ac:dyDescent="0.2">
      <c r="A43" s="19"/>
      <c r="B43" s="10" t="s">
        <v>53</v>
      </c>
      <c r="C43" s="88">
        <f>+'Calls for service'!C4</f>
        <v>230</v>
      </c>
      <c r="D43" s="71">
        <f>+'Calls for service'!C12</f>
        <v>251</v>
      </c>
      <c r="E43" s="67">
        <f>+'Calls for service'!C28</f>
        <v>252.40273972602739</v>
      </c>
      <c r="F43" s="71">
        <f>+'Calls for service'!M4</f>
        <v>907</v>
      </c>
      <c r="G43" s="71">
        <f>+'Calls for service'!M12</f>
        <v>936</v>
      </c>
      <c r="H43" s="67">
        <f>+'Calls for service'!M28</f>
        <v>1009.6109589041096</v>
      </c>
      <c r="I43" s="71">
        <f>+'Calls for service'!W20</f>
        <v>3861</v>
      </c>
      <c r="J43" s="71">
        <f>+'Calls for service'!W12</f>
        <v>3951</v>
      </c>
      <c r="K43" s="67">
        <f>+'Calls for service'!W28</f>
        <v>3990</v>
      </c>
      <c r="L43" s="76">
        <f>+I43-J43</f>
        <v>-90</v>
      </c>
      <c r="M43" s="53">
        <f>+I43-K43</f>
        <v>-129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550</v>
      </c>
      <c r="D44" s="46">
        <f t="shared" si="13"/>
        <v>581</v>
      </c>
      <c r="E44" s="68">
        <f t="shared" si="13"/>
        <v>606.27671232876719</v>
      </c>
      <c r="F44" s="73">
        <f t="shared" si="13"/>
        <v>2157</v>
      </c>
      <c r="G44" s="46">
        <f t="shared" si="13"/>
        <v>2230</v>
      </c>
      <c r="H44" s="68">
        <f t="shared" si="13"/>
        <v>2425.1068493150688</v>
      </c>
      <c r="I44" s="73">
        <f t="shared" si="13"/>
        <v>9242</v>
      </c>
      <c r="J44" s="46">
        <f t="shared" si="13"/>
        <v>9562</v>
      </c>
      <c r="K44" s="68">
        <f t="shared" si="13"/>
        <v>9598</v>
      </c>
      <c r="L44" s="330">
        <f>+(I44-J44)/J44</f>
        <v>-3.3465802133444883E-2</v>
      </c>
      <c r="M44" s="331">
        <f>+(I44-K44)/K44</f>
        <v>-3.7091060637632838E-2</v>
      </c>
      <c r="N44" s="18"/>
    </row>
    <row r="45" spans="1:14" s="215" customFormat="1" x14ac:dyDescent="0.2">
      <c r="A45" s="19"/>
      <c r="B45" s="343" t="s">
        <v>75</v>
      </c>
      <c r="C45" s="527">
        <f>'Beat 21'!F41+'Beat 22'!F41+'Beat 23'!F41+'Beat 24'!F41+'Beat 25'!F41+'Beat 26'!F41</f>
        <v>5</v>
      </c>
      <c r="D45" s="298">
        <f>'Beat 21'!E41+'Beat 22'!E41+'Beat 23'!E41+'Beat 24'!E41+'Beat 25'!E41+'Beat 26'!E41</f>
        <v>11</v>
      </c>
      <c r="E45" s="341">
        <f>H45/4</f>
        <v>7.6136986301369873</v>
      </c>
      <c r="F45" s="486">
        <f>'Beat 21'!G41+'Beat 22'!G41+'Beat 23'!G41+'Beat 24'!G41+'Beat 25'!G41+'Beat 26'!G41</f>
        <v>22</v>
      </c>
      <c r="G45" s="298">
        <f>'Previous 28 Days'!B15</f>
        <v>14</v>
      </c>
      <c r="H45" s="299">
        <f>'Beat 21'!H41+'Beat 22'!H41+'Beat 23'!H41+'Beat 24'!H41+'Beat 25'!H41+'Beat 26'!H41</f>
        <v>30.454794520547949</v>
      </c>
      <c r="I45" s="298">
        <f>'Beat 21'!I41+'Beat 22'!I41+'Beat 23'!I41+'Beat 24'!I41+'Beat 25'!I41+'Beat 26'!I41</f>
        <v>84</v>
      </c>
      <c r="J45" s="298">
        <f>'Beat 21'!J41+'Beat 22'!J41+'Beat 23'!J41+'Beat 24'!J41+'Beat 25'!J41+'Beat 26'!J41</f>
        <v>162</v>
      </c>
      <c r="K45" s="298">
        <f>'Beat 21'!K41+'Beat 22'!K41+'Beat 23'!K41+'Beat 24'!K41+'Beat 25'!K41+'Beat 26'!K41</f>
        <v>56</v>
      </c>
      <c r="L45" s="336">
        <f>I45-J45</f>
        <v>-78</v>
      </c>
      <c r="M45" s="333">
        <f>I45-K45</f>
        <v>28</v>
      </c>
      <c r="N45" s="216"/>
    </row>
    <row r="46" spans="1:14" ht="13.5" thickBot="1" x14ac:dyDescent="0.25">
      <c r="A46" s="19"/>
      <c r="B46" s="344" t="s">
        <v>76</v>
      </c>
      <c r="C46" s="527">
        <f>'Beat 21'!F42+'Beat 22'!F42+'Beat 23'!F42+'Beat 24'!F42+'Beat 25'!F42+'Beat 26'!F42</f>
        <v>10</v>
      </c>
      <c r="D46" s="298">
        <f>'Beat 21'!E42+'Beat 22'!E42+'Beat 23'!E42+'Beat 24'!E42+'Beat 25'!E42+'Beat 26'!E42</f>
        <v>10</v>
      </c>
      <c r="E46" s="335">
        <f>H46/4</f>
        <v>10.778082191780822</v>
      </c>
      <c r="F46" s="348">
        <f>'Beat 21'!G42+'Beat 22'!G42+'Beat 23'!G42+'Beat 24'!G42+'Beat 25'!G42+'Beat 26'!G42</f>
        <v>36</v>
      </c>
      <c r="G46" s="298">
        <f>'Previous 28 Days'!C15</f>
        <v>22</v>
      </c>
      <c r="H46" s="299">
        <f>'Beat 21'!H42+'Beat 22'!H42+'Beat 23'!H42+'Beat 24'!H42+'Beat 25'!H42+'Beat 26'!H42</f>
        <v>43.112328767123287</v>
      </c>
      <c r="I46" s="298">
        <f>'Beat 21'!I42+'Beat 22'!I42+'Beat 23'!I42+'Beat 24'!I42+'Beat 25'!I42+'Beat 26'!I42</f>
        <v>143</v>
      </c>
      <c r="J46" s="298">
        <f>'Beat 21'!J42+'Beat 22'!J42+'Beat 23'!J42+'Beat 24'!J42+'Beat 25'!J42+'Beat 26'!J42</f>
        <v>186</v>
      </c>
      <c r="K46" s="298">
        <f>'Beat 21'!K42+'Beat 22'!K42+'Beat 23'!K42+'Beat 24'!K42+'Beat 25'!K42+'Beat 26'!K42</f>
        <v>119</v>
      </c>
      <c r="L46" s="337">
        <f>I46-J46</f>
        <v>-43</v>
      </c>
      <c r="M46" s="208">
        <f>I46-K46</f>
        <v>24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7" type="noConversion"/>
  <conditionalFormatting sqref="L32:M32 M47">
    <cfRule type="cellIs" dxfId="92" priority="11" stopIfTrue="1" operator="greaterThan">
      <formula>0</formula>
    </cfRule>
  </conditionalFormatting>
  <conditionalFormatting sqref="C11:C12 C21:C29 C14:C18">
    <cfRule type="cellIs" dxfId="91" priority="14" stopIfTrue="1" operator="greaterThan">
      <formula>E11+P11</formula>
    </cfRule>
    <cfRule type="cellIs" dxfId="90" priority="15" stopIfTrue="1" operator="lessThan">
      <formula>E11-P11</formula>
    </cfRule>
  </conditionalFormatting>
  <conditionalFormatting sqref="F21:F29 F11:F12 F14:F18">
    <cfRule type="cellIs" dxfId="89" priority="16" stopIfTrue="1" operator="greaterThan">
      <formula>H11+Q11</formula>
    </cfRule>
    <cfRule type="cellIs" dxfId="88" priority="17" stopIfTrue="1" operator="lessThan">
      <formula>H11-Q11</formula>
    </cfRule>
  </conditionalFormatting>
  <conditionalFormatting sqref="I11:I12 I21:I29 I14:I18">
    <cfRule type="cellIs" dxfId="87" priority="18" stopIfTrue="1" operator="greaterThan">
      <formula>J11+R11</formula>
    </cfRule>
    <cfRule type="cellIs" dxfId="86" priority="19" stopIfTrue="1" operator="lessThan">
      <formula>J11-R11</formula>
    </cfRule>
  </conditionalFormatting>
  <pageMargins left="0.42" right="0.33" top="0.39" bottom="0" header="0.22" footer="0.21"/>
  <pageSetup scale="97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Data'!F44</f>
        <v>0.15300546448087432</v>
      </c>
      <c r="I11" s="403">
        <f>'YTD 2017'!F10</f>
        <v>0</v>
      </c>
      <c r="J11" s="401">
        <f>'YTD 2016'!F10</f>
        <v>2</v>
      </c>
      <c r="K11" s="401">
        <f>'YTD 2015'!F10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8" si="2">SUM(C12:F12)</f>
        <v>0</v>
      </c>
      <c r="H12" s="491">
        <f>'2016 Data'!M44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6">
        <f>'New Rapes'!E13</f>
        <v>0</v>
      </c>
      <c r="D13" s="556">
        <f>'New Rapes'!D13</f>
        <v>0</v>
      </c>
      <c r="E13" s="555">
        <f>'New Rapes'!C13</f>
        <v>0</v>
      </c>
      <c r="F13" s="555">
        <f>'New Rapes'!B13</f>
        <v>0</v>
      </c>
      <c r="G13" s="452">
        <f t="shared" si="2"/>
        <v>0</v>
      </c>
      <c r="H13" s="576">
        <v>7.6712328767123292E-2</v>
      </c>
      <c r="I13" s="557">
        <f>'New Rapes'!G13</f>
        <v>0</v>
      </c>
      <c r="J13" s="556">
        <f>'New Rapes'!H13</f>
        <v>0</v>
      </c>
      <c r="K13" s="556">
        <f>'New Rapes'!I13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Data'!D44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ago'!Q10</f>
        <v>0</v>
      </c>
      <c r="D15" s="401">
        <f>'3 weeks ago'!Q10</f>
        <v>1</v>
      </c>
      <c r="E15" s="402">
        <f>'Previous Week'!Q10</f>
        <v>0</v>
      </c>
      <c r="F15" s="402">
        <f>'Last Week'!Q10</f>
        <v>0</v>
      </c>
      <c r="G15" s="452">
        <f t="shared" si="2"/>
        <v>1</v>
      </c>
      <c r="H15" s="491">
        <f>'2016 Data'!Q44</f>
        <v>0.68852459016393441</v>
      </c>
      <c r="I15" s="403">
        <f>'YTD 2017'!Q10</f>
        <v>5</v>
      </c>
      <c r="J15" s="401">
        <f>'YTD 2016'!Q10</f>
        <v>4</v>
      </c>
      <c r="K15" s="401">
        <f>'YTD 2015'!Q10</f>
        <v>3</v>
      </c>
      <c r="L15" s="404">
        <f t="shared" si="0"/>
        <v>1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Data'!O44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ago'!E10</f>
        <v>1</v>
      </c>
      <c r="D17" s="401">
        <f>'3 weeks ago'!E10</f>
        <v>0</v>
      </c>
      <c r="E17" s="402">
        <f>'Previous Week'!E10</f>
        <v>2</v>
      </c>
      <c r="F17" s="402">
        <f>'Last Week'!E10</f>
        <v>0</v>
      </c>
      <c r="G17" s="452">
        <f t="shared" si="2"/>
        <v>3</v>
      </c>
      <c r="H17" s="491">
        <f>'2016 Data'!E44</f>
        <v>1.1475409836065573</v>
      </c>
      <c r="I17" s="403">
        <f>'YTD 2017'!E10</f>
        <v>12</v>
      </c>
      <c r="J17" s="401">
        <f>'YTD 2016'!E10</f>
        <v>3</v>
      </c>
      <c r="K17" s="401">
        <f>'YTD 2015'!E10</f>
        <v>4</v>
      </c>
      <c r="L17" s="404">
        <f t="shared" si="0"/>
        <v>9</v>
      </c>
      <c r="M17" s="407">
        <f t="shared" si="1"/>
        <v>8</v>
      </c>
      <c r="N17" s="380"/>
    </row>
    <row r="18" spans="1:14" x14ac:dyDescent="0.25">
      <c r="A18" s="375"/>
      <c r="B18" s="406" t="s">
        <v>41</v>
      </c>
      <c r="C18" s="401">
        <f>'4 weeks ago'!J10</f>
        <v>1</v>
      </c>
      <c r="D18" s="401">
        <f>'3 weeks ago'!J10</f>
        <v>1</v>
      </c>
      <c r="E18" s="402">
        <f>'Previous Week'!J10</f>
        <v>0</v>
      </c>
      <c r="F18" s="402">
        <f>'Last Week'!J10</f>
        <v>1</v>
      </c>
      <c r="G18" s="452">
        <f t="shared" si="2"/>
        <v>3</v>
      </c>
      <c r="H18" s="491">
        <f>'2016 Data'!J44</f>
        <v>1.3770491803278688</v>
      </c>
      <c r="I18" s="403">
        <f>'YTD 2017'!J10</f>
        <v>3</v>
      </c>
      <c r="J18" s="401">
        <f>'YTD 2016'!J10</f>
        <v>7</v>
      </c>
      <c r="K18" s="401">
        <f>'YTD 2015'!J10</f>
        <v>2</v>
      </c>
      <c r="L18" s="404">
        <f t="shared" si="0"/>
        <v>-4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2</v>
      </c>
      <c r="D19" s="409">
        <f t="shared" si="3"/>
        <v>2</v>
      </c>
      <c r="E19" s="409">
        <f t="shared" si="3"/>
        <v>2</v>
      </c>
      <c r="F19" s="410">
        <f t="shared" si="3"/>
        <v>1</v>
      </c>
      <c r="G19" s="453">
        <f t="shared" si="3"/>
        <v>7</v>
      </c>
      <c r="H19" s="492">
        <f t="shared" si="3"/>
        <v>3.9018489407889811</v>
      </c>
      <c r="I19" s="411">
        <f t="shared" si="3"/>
        <v>20</v>
      </c>
      <c r="J19" s="409">
        <f t="shared" si="3"/>
        <v>18</v>
      </c>
      <c r="K19" s="409">
        <f t="shared" si="3"/>
        <v>11</v>
      </c>
      <c r="L19" s="412">
        <f>(I19-J19)/J19</f>
        <v>0.1111111111111111</v>
      </c>
      <c r="M19" s="413">
        <f>(I19-K19)/K19</f>
        <v>0.81818181818181823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ago'!C10</f>
        <v>0</v>
      </c>
      <c r="D21" s="401">
        <f>'3 weeks ago'!C10</f>
        <v>0</v>
      </c>
      <c r="E21" s="402">
        <f>'Previous Week'!C10</f>
        <v>0</v>
      </c>
      <c r="F21" s="402">
        <f>'Last Week'!C10</f>
        <v>0</v>
      </c>
      <c r="G21" s="452">
        <f t="shared" ref="G21:G29" si="4">SUM(C21:F21)</f>
        <v>0</v>
      </c>
      <c r="H21" s="491">
        <f>'2016 Data'!C44</f>
        <v>0.68852459016393441</v>
      </c>
      <c r="I21" s="416">
        <f>'YTD 2017'!C10</f>
        <v>2</v>
      </c>
      <c r="J21" s="401">
        <f>'YTD 2016'!C10</f>
        <v>1</v>
      </c>
      <c r="K21" s="401">
        <f>'YTD 2015'!C10</f>
        <v>1</v>
      </c>
      <c r="L21" s="404">
        <f t="shared" ref="L21:L29" si="5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ago'!N10</f>
        <v>0</v>
      </c>
      <c r="D22" s="401">
        <f>'3 weeks ago'!N10</f>
        <v>0</v>
      </c>
      <c r="E22" s="402">
        <f>'Previous Week'!N10</f>
        <v>1</v>
      </c>
      <c r="F22" s="402">
        <f>'Last Week'!N10</f>
        <v>1</v>
      </c>
      <c r="G22" s="452">
        <f t="shared" si="4"/>
        <v>2</v>
      </c>
      <c r="H22" s="491">
        <f>'2016 Data'!N44</f>
        <v>1.9125683060109291</v>
      </c>
      <c r="I22" s="418">
        <f>'YTD 2017'!N10</f>
        <v>6</v>
      </c>
      <c r="J22" s="401">
        <f>'YTD 2016'!N10</f>
        <v>8</v>
      </c>
      <c r="K22" s="401">
        <f>'YTD 2015'!N10</f>
        <v>12</v>
      </c>
      <c r="L22" s="404">
        <f t="shared" si="5"/>
        <v>-2</v>
      </c>
      <c r="M22" s="407">
        <f t="shared" ref="M22:M29" si="6">I22-K22</f>
        <v>-6</v>
      </c>
      <c r="N22" s="380"/>
    </row>
    <row r="23" spans="1:14" x14ac:dyDescent="0.25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Data'!L44</f>
        <v>7.650273224043716E-2</v>
      </c>
      <c r="I23" s="418">
        <f>'YTD 2017'!L10</f>
        <v>0</v>
      </c>
      <c r="J23" s="401">
        <f>'YTD 2016'!L10</f>
        <v>0</v>
      </c>
      <c r="K23" s="401">
        <f>'YTD 2015'!L10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ago'!P10</f>
        <v>1</v>
      </c>
      <c r="D24" s="401">
        <f>'3 weeks ago'!P10</f>
        <v>0</v>
      </c>
      <c r="E24" s="402">
        <f>'Previous Week'!P10</f>
        <v>0</v>
      </c>
      <c r="F24" s="402">
        <f>'Last Week'!P10</f>
        <v>0</v>
      </c>
      <c r="G24" s="452">
        <f t="shared" si="4"/>
        <v>1</v>
      </c>
      <c r="H24" s="491">
        <f>'2016 Data'!P44</f>
        <v>2.0655737704918034</v>
      </c>
      <c r="I24" s="418">
        <f>'YTD 2017'!P10</f>
        <v>11</v>
      </c>
      <c r="J24" s="401">
        <f>'YTD 2016'!P10</f>
        <v>4</v>
      </c>
      <c r="K24" s="401">
        <f>'YTD 2015'!P10</f>
        <v>8</v>
      </c>
      <c r="L24" s="404">
        <f t="shared" si="5"/>
        <v>7</v>
      </c>
      <c r="M24" s="407">
        <f t="shared" si="6"/>
        <v>3</v>
      </c>
      <c r="N24" s="380"/>
    </row>
    <row r="25" spans="1:14" x14ac:dyDescent="0.25">
      <c r="A25" s="375"/>
      <c r="B25" s="406" t="s">
        <v>7</v>
      </c>
      <c r="C25" s="401">
        <f>'4 weeks ago'!G10</f>
        <v>0</v>
      </c>
      <c r="D25" s="401">
        <f>'3 weeks ago'!G10</f>
        <v>0</v>
      </c>
      <c r="E25" s="402">
        <f>'Previous Week'!G10</f>
        <v>1</v>
      </c>
      <c r="F25" s="402">
        <f>'Last Week'!G10</f>
        <v>1</v>
      </c>
      <c r="G25" s="452">
        <f t="shared" si="4"/>
        <v>2</v>
      </c>
      <c r="H25" s="491">
        <f>'2016 Data'!G44</f>
        <v>2.5245901639344264</v>
      </c>
      <c r="I25" s="418">
        <f>'YTD 2017'!G10</f>
        <v>7</v>
      </c>
      <c r="J25" s="401">
        <f>'YTD 2016'!G10</f>
        <v>6</v>
      </c>
      <c r="K25" s="401">
        <f>'YTD 2015'!G10</f>
        <v>18</v>
      </c>
      <c r="L25" s="404">
        <f t="shared" si="5"/>
        <v>1</v>
      </c>
      <c r="M25" s="407">
        <f t="shared" si="6"/>
        <v>-11</v>
      </c>
      <c r="N25" s="380"/>
    </row>
    <row r="26" spans="1:14" x14ac:dyDescent="0.25">
      <c r="A26" s="375"/>
      <c r="B26" s="406" t="s">
        <v>68</v>
      </c>
      <c r="C26" s="401">
        <f>'4 weeks ago'!I10</f>
        <v>1</v>
      </c>
      <c r="D26" s="401">
        <f>'3 weeks ago'!I10</f>
        <v>0</v>
      </c>
      <c r="E26" s="402">
        <f>'Previous Week'!I10</f>
        <v>0</v>
      </c>
      <c r="F26" s="402">
        <f>'Last Week'!I10</f>
        <v>1</v>
      </c>
      <c r="G26" s="452">
        <f t="shared" si="4"/>
        <v>2</v>
      </c>
      <c r="H26" s="491">
        <f>'2016 Data'!I44</f>
        <v>1.6830601092896174</v>
      </c>
      <c r="I26" s="418">
        <f>'YTD 2017'!I10</f>
        <v>3</v>
      </c>
      <c r="J26" s="401">
        <f>'YTD 2016'!I10</f>
        <v>4</v>
      </c>
      <c r="K26" s="401">
        <f>'YTD 2015'!I10</f>
        <v>4</v>
      </c>
      <c r="L26" s="404">
        <f t="shared" si="5"/>
        <v>-1</v>
      </c>
      <c r="M26" s="407">
        <f t="shared" si="6"/>
        <v>-1</v>
      </c>
      <c r="N26" s="380"/>
    </row>
    <row r="27" spans="1:14" x14ac:dyDescent="0.25">
      <c r="A27" s="375"/>
      <c r="B27" s="406" t="s">
        <v>67</v>
      </c>
      <c r="C27" s="401">
        <f>'4 weeks ago'!H10</f>
        <v>0</v>
      </c>
      <c r="D27" s="401">
        <f>'3 weeks ago'!H10</f>
        <v>1</v>
      </c>
      <c r="E27" s="402">
        <f>'Previous Week'!H10</f>
        <v>0</v>
      </c>
      <c r="F27" s="402">
        <f>'Last Week'!H10</f>
        <v>1</v>
      </c>
      <c r="G27" s="452">
        <f t="shared" si="4"/>
        <v>2</v>
      </c>
      <c r="H27" s="491">
        <f>'2016 Data'!H44</f>
        <v>1.9890710382513661</v>
      </c>
      <c r="I27" s="418">
        <f>'YTD 2017'!H10</f>
        <v>5</v>
      </c>
      <c r="J27" s="401">
        <f>'YTD 2016'!H10</f>
        <v>7</v>
      </c>
      <c r="K27" s="401">
        <f>'YTD 2015'!H10</f>
        <v>11</v>
      </c>
      <c r="L27" s="404">
        <f>I27-J27</f>
        <v>-2</v>
      </c>
      <c r="M27" s="407">
        <f>I27-K27</f>
        <v>-6</v>
      </c>
      <c r="N27" s="380"/>
    </row>
    <row r="28" spans="1:14" x14ac:dyDescent="0.25">
      <c r="A28" s="375"/>
      <c r="B28" s="406" t="s">
        <v>34</v>
      </c>
      <c r="C28" s="401">
        <f>'4 weeks ago'!K10</f>
        <v>0</v>
      </c>
      <c r="D28" s="401">
        <f>'3 weeks ago'!K10</f>
        <v>0</v>
      </c>
      <c r="E28" s="402">
        <f>'Previous Week'!K10</f>
        <v>0</v>
      </c>
      <c r="F28" s="402">
        <f>'Last Week'!K10</f>
        <v>0</v>
      </c>
      <c r="G28" s="452">
        <f t="shared" si="4"/>
        <v>0</v>
      </c>
      <c r="H28" s="491">
        <f>'2016 Data'!K44</f>
        <v>0.15300546448087432</v>
      </c>
      <c r="I28" s="418">
        <f>'YTD 2017'!K10</f>
        <v>1</v>
      </c>
      <c r="J28" s="401">
        <f>'YTD 2016'!K10</f>
        <v>1</v>
      </c>
      <c r="K28" s="401">
        <f>'YTD 2015'!K10</f>
        <v>0</v>
      </c>
      <c r="L28" s="404">
        <f t="shared" si="5"/>
        <v>0</v>
      </c>
      <c r="M28" s="407">
        <f t="shared" si="6"/>
        <v>1</v>
      </c>
      <c r="N28" s="380"/>
    </row>
    <row r="29" spans="1:14" x14ac:dyDescent="0.25">
      <c r="A29" s="375"/>
      <c r="B29" s="406" t="s">
        <v>8</v>
      </c>
      <c r="C29" s="401">
        <f>'4 weeks ago'!B10</f>
        <v>1</v>
      </c>
      <c r="D29" s="401">
        <f>'3 weeks ago'!B10</f>
        <v>1</v>
      </c>
      <c r="E29" s="402">
        <f>'Previous Week'!B10</f>
        <v>1</v>
      </c>
      <c r="F29" s="402">
        <f>'Last Week'!B10</f>
        <v>1</v>
      </c>
      <c r="G29" s="452">
        <f t="shared" si="4"/>
        <v>4</v>
      </c>
      <c r="H29" s="491">
        <f>'2016 Data'!B44</f>
        <v>2.5245901639344264</v>
      </c>
      <c r="I29" s="418">
        <f>'YTD 2017'!B10</f>
        <v>9</v>
      </c>
      <c r="J29" s="401">
        <f>'YTD 2016'!B10</f>
        <v>13</v>
      </c>
      <c r="K29" s="401">
        <f>'YTD 2015'!B10</f>
        <v>9</v>
      </c>
      <c r="L29" s="404">
        <f t="shared" si="5"/>
        <v>-4</v>
      </c>
      <c r="M29" s="407">
        <f t="shared" si="6"/>
        <v>0</v>
      </c>
      <c r="N29" s="380"/>
    </row>
    <row r="30" spans="1:14" x14ac:dyDescent="0.25">
      <c r="A30" s="375"/>
      <c r="B30" s="419" t="s">
        <v>5</v>
      </c>
      <c r="C30" s="420">
        <f t="shared" ref="C30:G30" si="7">SUM(C21:C29)</f>
        <v>3</v>
      </c>
      <c r="D30" s="420">
        <f t="shared" si="7"/>
        <v>2</v>
      </c>
      <c r="E30" s="420">
        <f t="shared" si="7"/>
        <v>3</v>
      </c>
      <c r="F30" s="421">
        <f t="shared" si="7"/>
        <v>5</v>
      </c>
      <c r="G30" s="455">
        <f t="shared" si="7"/>
        <v>13</v>
      </c>
      <c r="H30" s="494">
        <f t="shared" ref="H30:K30" si="8">SUM(H21:H29)</f>
        <v>13.617486338797814</v>
      </c>
      <c r="I30" s="422">
        <f t="shared" si="8"/>
        <v>44</v>
      </c>
      <c r="J30" s="420">
        <f t="shared" si="8"/>
        <v>44</v>
      </c>
      <c r="K30" s="420">
        <f t="shared" si="8"/>
        <v>63</v>
      </c>
      <c r="L30" s="412">
        <f>(I30-J30)/J30</f>
        <v>0</v>
      </c>
      <c r="M30" s="413">
        <f>(I30-K30)/K30</f>
        <v>-0.30158730158730157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4</v>
      </c>
      <c r="E31" s="409">
        <f t="shared" si="9"/>
        <v>5</v>
      </c>
      <c r="F31" s="410">
        <f t="shared" si="9"/>
        <v>6</v>
      </c>
      <c r="G31" s="453">
        <f t="shared" si="9"/>
        <v>20</v>
      </c>
      <c r="H31" s="492">
        <f t="shared" si="9"/>
        <v>17.519335279586794</v>
      </c>
      <c r="I31" s="411">
        <f t="shared" si="9"/>
        <v>64</v>
      </c>
      <c r="J31" s="409">
        <f t="shared" si="9"/>
        <v>62</v>
      </c>
      <c r="K31" s="409">
        <f t="shared" si="9"/>
        <v>74</v>
      </c>
      <c r="L31" s="412">
        <f>(I31-J31)/J31</f>
        <v>3.2258064516129031E-2</v>
      </c>
      <c r="M31" s="413">
        <f>(I31-K31)/K31</f>
        <v>-0.13513513513513514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Data'!R44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ago'!T10</f>
        <v>2</v>
      </c>
      <c r="D42" s="447">
        <f>'3 weeks ago'!T10</f>
        <v>1</v>
      </c>
      <c r="E42" s="446">
        <f>'Previous Week'!T10</f>
        <v>3</v>
      </c>
      <c r="F42" s="460">
        <f>'Last Week'!T10</f>
        <v>5</v>
      </c>
      <c r="G42" s="452">
        <f t="shared" si="10"/>
        <v>11</v>
      </c>
      <c r="H42" s="502">
        <f>'2016 Data'!S44</f>
        <v>9.2821917808219183</v>
      </c>
      <c r="I42" s="448">
        <f>'YTD 2017'!T10</f>
        <v>32</v>
      </c>
      <c r="J42" s="446">
        <f>'YTD 2016'!T10</f>
        <v>39</v>
      </c>
      <c r="K42" s="446">
        <f>'YTD 2015'!T10</f>
        <v>23</v>
      </c>
      <c r="L42" s="412">
        <f>(I42-J42)/J42</f>
        <v>-0.17948717948717949</v>
      </c>
      <c r="M42" s="413">
        <f>(I42-K42)/K42</f>
        <v>0.39130434782608697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5" priority="1" stopIfTrue="1" operator="greaterThan">
      <formula>0</formula>
    </cfRule>
  </conditionalFormatting>
  <conditionalFormatting sqref="L32:M32">
    <cfRule type="cellIs" dxfId="8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topLeftCell="A4"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Data'!F45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8" si="2">SUM(C12:F12)</f>
        <v>0</v>
      </c>
      <c r="H12" s="491">
        <f>'2016 Data'!M45</f>
        <v>0.38251366120218577</v>
      </c>
      <c r="I12" s="403">
        <f>'YTD 2017'!M11</f>
        <v>2</v>
      </c>
      <c r="J12" s="401">
        <f>'YTD 2016'!M11</f>
        <v>0</v>
      </c>
      <c r="K12" s="401">
        <f>'YTD 2015'!M11</f>
        <v>4</v>
      </c>
      <c r="L12" s="404">
        <f t="shared" si="0"/>
        <v>2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6">
        <f>'New Rapes'!E14</f>
        <v>0</v>
      </c>
      <c r="D13" s="556">
        <f>'New Rapes'!D14</f>
        <v>0</v>
      </c>
      <c r="E13" s="555">
        <f>'New Rapes'!C14</f>
        <v>0</v>
      </c>
      <c r="F13" s="555">
        <f>'New Rapes'!B14</f>
        <v>0</v>
      </c>
      <c r="G13" s="452">
        <f t="shared" ref="G13" si="3">SUM(C13:F13)</f>
        <v>0</v>
      </c>
      <c r="H13" s="576">
        <v>0.15342465753424658</v>
      </c>
      <c r="I13" s="557">
        <f>'New Rapes'!G14</f>
        <v>0</v>
      </c>
      <c r="J13" s="556">
        <f>'New Rapes'!H14</f>
        <v>0</v>
      </c>
      <c r="K13" s="556">
        <f>'New Rapes'!I14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Data'!D45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ago'!Q11</f>
        <v>0</v>
      </c>
      <c r="D15" s="401">
        <f>'3 weeks ago'!Q11</f>
        <v>0</v>
      </c>
      <c r="E15" s="402">
        <f>'Previous Week'!Q11</f>
        <v>0</v>
      </c>
      <c r="F15" s="402">
        <f>'Last Week'!Q11</f>
        <v>0</v>
      </c>
      <c r="G15" s="452">
        <f t="shared" si="2"/>
        <v>0</v>
      </c>
      <c r="H15" s="491">
        <f>'2016 Data'!Q45</f>
        <v>3.442622950819672</v>
      </c>
      <c r="I15" s="403">
        <f>'YTD 2017'!Q11</f>
        <v>3</v>
      </c>
      <c r="J15" s="401">
        <f>'YTD 2016'!Q11</f>
        <v>9</v>
      </c>
      <c r="K15" s="401">
        <f>'YTD 2015'!Q11</f>
        <v>6</v>
      </c>
      <c r="L15" s="404">
        <f t="shared" si="0"/>
        <v>-6</v>
      </c>
      <c r="M15" s="407">
        <f t="shared" si="1"/>
        <v>-3</v>
      </c>
      <c r="N15" s="380"/>
    </row>
    <row r="16" spans="1:14" x14ac:dyDescent="0.25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Data'!O45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ago'!E11</f>
        <v>0</v>
      </c>
      <c r="D17" s="401">
        <f>'3 weeks ago'!E11</f>
        <v>0</v>
      </c>
      <c r="E17" s="402">
        <f>'Previous Week'!E11</f>
        <v>0</v>
      </c>
      <c r="F17" s="402">
        <f>'Last Week'!E11</f>
        <v>0</v>
      </c>
      <c r="G17" s="452">
        <f t="shared" si="2"/>
        <v>0</v>
      </c>
      <c r="H17" s="491">
        <f>'2016 Data'!E45</f>
        <v>0.61202185792349728</v>
      </c>
      <c r="I17" s="403">
        <f>'YTD 2017'!E11</f>
        <v>1</v>
      </c>
      <c r="J17" s="401">
        <f>'YTD 2016'!E11</f>
        <v>2</v>
      </c>
      <c r="K17" s="401">
        <f>'YTD 2015'!E11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ago'!J11</f>
        <v>0</v>
      </c>
      <c r="D18" s="401">
        <f>'3 weeks ago'!J11</f>
        <v>1</v>
      </c>
      <c r="E18" s="402">
        <f>'Previous Week'!J11</f>
        <v>1</v>
      </c>
      <c r="F18" s="402">
        <f>'Last Week'!J11</f>
        <v>0</v>
      </c>
      <c r="G18" s="452">
        <f t="shared" si="2"/>
        <v>2</v>
      </c>
      <c r="H18" s="491">
        <f>'2016 Data'!J45</f>
        <v>0.91803278688524592</v>
      </c>
      <c r="I18" s="403">
        <f>'YTD 2017'!J11</f>
        <v>4</v>
      </c>
      <c r="J18" s="401">
        <f>'YTD 2016'!J11</f>
        <v>3</v>
      </c>
      <c r="K18" s="401">
        <f>'YTD 2015'!J11</f>
        <v>0</v>
      </c>
      <c r="L18" s="404">
        <f t="shared" si="0"/>
        <v>1</v>
      </c>
      <c r="M18" s="407">
        <f t="shared" si="1"/>
        <v>4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5.5851186466052845</v>
      </c>
      <c r="I19" s="411">
        <f t="shared" si="4"/>
        <v>10</v>
      </c>
      <c r="J19" s="409">
        <f t="shared" si="4"/>
        <v>14</v>
      </c>
      <c r="K19" s="409">
        <f t="shared" si="4"/>
        <v>10</v>
      </c>
      <c r="L19" s="412">
        <f>(I19-J19)/J19</f>
        <v>-0.2857142857142857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ago'!C11</f>
        <v>0</v>
      </c>
      <c r="D21" s="401">
        <f>'3 weeks ago'!C11</f>
        <v>0</v>
      </c>
      <c r="E21" s="402">
        <f>'Previous Week'!C11</f>
        <v>0</v>
      </c>
      <c r="F21" s="402">
        <f>'Last Week'!C11</f>
        <v>0</v>
      </c>
      <c r="G21" s="452">
        <f t="shared" ref="G21:G29" si="5">SUM(C21:F21)</f>
        <v>0</v>
      </c>
      <c r="H21" s="491">
        <f>'2016 Data'!C45</f>
        <v>0.84153005464480868</v>
      </c>
      <c r="I21" s="416">
        <f>'YTD 2017'!C11</f>
        <v>4</v>
      </c>
      <c r="J21" s="401">
        <f>'YTD 2016'!C11</f>
        <v>2</v>
      </c>
      <c r="K21" s="401">
        <f>'YTD 2015'!C11</f>
        <v>4</v>
      </c>
      <c r="L21" s="404">
        <f t="shared" ref="L21:L29" si="6">I21-J21</f>
        <v>2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0</v>
      </c>
      <c r="G22" s="452">
        <f t="shared" si="5"/>
        <v>0</v>
      </c>
      <c r="H22" s="491">
        <f>'2016 Data'!N45</f>
        <v>0.53551912568306015</v>
      </c>
      <c r="I22" s="418">
        <f>'YTD 2017'!N11</f>
        <v>0</v>
      </c>
      <c r="J22" s="401">
        <f>'YTD 2016'!N11</f>
        <v>4</v>
      </c>
      <c r="K22" s="401">
        <f>'YTD 2015'!N11</f>
        <v>0</v>
      </c>
      <c r="L22" s="404">
        <f t="shared" si="6"/>
        <v>-4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ago'!L11</f>
        <v>1</v>
      </c>
      <c r="D23" s="401">
        <f>'3 weeks ago'!L11</f>
        <v>0</v>
      </c>
      <c r="E23" s="402">
        <f>'Previous Week'!L11</f>
        <v>0</v>
      </c>
      <c r="F23" s="402">
        <f>'Last Week'!L11</f>
        <v>1</v>
      </c>
      <c r="G23" s="452">
        <f t="shared" si="5"/>
        <v>2</v>
      </c>
      <c r="H23" s="491">
        <f>'2016 Data'!L45</f>
        <v>2.9071038251366121</v>
      </c>
      <c r="I23" s="418">
        <f>'YTD 2017'!L11</f>
        <v>15</v>
      </c>
      <c r="J23" s="401">
        <f>'YTD 2016'!L11</f>
        <v>13</v>
      </c>
      <c r="K23" s="401">
        <f>'YTD 2015'!L11</f>
        <v>9</v>
      </c>
      <c r="L23" s="404">
        <f t="shared" si="6"/>
        <v>2</v>
      </c>
      <c r="M23" s="407">
        <f t="shared" si="7"/>
        <v>6</v>
      </c>
      <c r="N23" s="380"/>
    </row>
    <row r="24" spans="1:14" x14ac:dyDescent="0.25">
      <c r="A24" s="375"/>
      <c r="B24" s="417" t="s">
        <v>33</v>
      </c>
      <c r="C24" s="401">
        <f>'4 weeks ago'!P11</f>
        <v>0</v>
      </c>
      <c r="D24" s="401">
        <f>'3 weeks ago'!P11</f>
        <v>2</v>
      </c>
      <c r="E24" s="402">
        <f>'Previous Week'!P11</f>
        <v>1</v>
      </c>
      <c r="F24" s="402">
        <f>'Last Week'!P11</f>
        <v>1</v>
      </c>
      <c r="G24" s="452">
        <f t="shared" si="5"/>
        <v>4</v>
      </c>
      <c r="H24" s="491">
        <f>'2016 Data'!P45</f>
        <v>2.9836065573770489</v>
      </c>
      <c r="I24" s="418">
        <f>'YTD 2017'!P11</f>
        <v>15</v>
      </c>
      <c r="J24" s="401">
        <f>'YTD 2016'!P11</f>
        <v>20</v>
      </c>
      <c r="K24" s="401">
        <f>'YTD 2015'!P11</f>
        <v>5</v>
      </c>
      <c r="L24" s="404">
        <f t="shared" si="6"/>
        <v>-5</v>
      </c>
      <c r="M24" s="407">
        <f t="shared" si="7"/>
        <v>10</v>
      </c>
      <c r="N24" s="380"/>
    </row>
    <row r="25" spans="1:14" x14ac:dyDescent="0.25">
      <c r="A25" s="375"/>
      <c r="B25" s="406" t="s">
        <v>7</v>
      </c>
      <c r="C25" s="401">
        <f>'4 weeks ago'!G11</f>
        <v>1</v>
      </c>
      <c r="D25" s="401">
        <f>'3 weeks ago'!G11</f>
        <v>3</v>
      </c>
      <c r="E25" s="402">
        <f>'Previous Week'!G11</f>
        <v>0</v>
      </c>
      <c r="F25" s="402">
        <f>'Last Week'!G11</f>
        <v>1</v>
      </c>
      <c r="G25" s="452">
        <f t="shared" si="5"/>
        <v>5</v>
      </c>
      <c r="H25" s="491">
        <f>'2016 Data'!G45</f>
        <v>10.863387978142075</v>
      </c>
      <c r="I25" s="418">
        <f>'YTD 2017'!G11</f>
        <v>22</v>
      </c>
      <c r="J25" s="401">
        <f>'YTD 2016'!G11</f>
        <v>50</v>
      </c>
      <c r="K25" s="401">
        <f>'YTD 2015'!G11</f>
        <v>18</v>
      </c>
      <c r="L25" s="404">
        <f t="shared" si="6"/>
        <v>-28</v>
      </c>
      <c r="M25" s="407">
        <f t="shared" si="7"/>
        <v>4</v>
      </c>
      <c r="N25" s="380"/>
    </row>
    <row r="26" spans="1:14" x14ac:dyDescent="0.25">
      <c r="A26" s="375"/>
      <c r="B26" s="406" t="s">
        <v>68</v>
      </c>
      <c r="C26" s="401">
        <f>'4 weeks ago'!I11</f>
        <v>2</v>
      </c>
      <c r="D26" s="401">
        <f>'3 weeks ago'!I11</f>
        <v>2</v>
      </c>
      <c r="E26" s="402">
        <f>'Previous Week'!I11</f>
        <v>1</v>
      </c>
      <c r="F26" s="402">
        <f>'Last Week'!I11</f>
        <v>1</v>
      </c>
      <c r="G26" s="452">
        <f t="shared" si="5"/>
        <v>6</v>
      </c>
      <c r="H26" s="491">
        <f>'2016 Data'!I45</f>
        <v>3.1366120218579234</v>
      </c>
      <c r="I26" s="418">
        <f>'YTD 2017'!I11</f>
        <v>21</v>
      </c>
      <c r="J26" s="401">
        <f>'YTD 2016'!I11</f>
        <v>14</v>
      </c>
      <c r="K26" s="401">
        <f>'YTD 2015'!I11</f>
        <v>14</v>
      </c>
      <c r="L26" s="404">
        <f t="shared" si="6"/>
        <v>7</v>
      </c>
      <c r="M26" s="407">
        <f t="shared" si="7"/>
        <v>7</v>
      </c>
      <c r="N26" s="380"/>
    </row>
    <row r="27" spans="1:14" x14ac:dyDescent="0.25">
      <c r="A27" s="375"/>
      <c r="B27" s="406" t="s">
        <v>67</v>
      </c>
      <c r="C27" s="401">
        <f>'4 weeks ago'!H11</f>
        <v>2</v>
      </c>
      <c r="D27" s="401">
        <f>'3 weeks ago'!H11</f>
        <v>1</v>
      </c>
      <c r="E27" s="402">
        <f>'Previous Week'!H11</f>
        <v>0</v>
      </c>
      <c r="F27" s="402">
        <f>'Last Week'!H11</f>
        <v>2</v>
      </c>
      <c r="G27" s="452">
        <f t="shared" si="5"/>
        <v>5</v>
      </c>
      <c r="H27" s="491">
        <f>'2016 Data'!H45</f>
        <v>8.0327868852459012</v>
      </c>
      <c r="I27" s="418">
        <f>'YTD 2017'!H11</f>
        <v>29</v>
      </c>
      <c r="J27" s="401">
        <f>'YTD 2016'!H11</f>
        <v>39</v>
      </c>
      <c r="K27" s="401">
        <f>'YTD 2015'!H11</f>
        <v>21</v>
      </c>
      <c r="L27" s="404">
        <f>I27-J27</f>
        <v>-10</v>
      </c>
      <c r="M27" s="407">
        <f>I27-K27</f>
        <v>8</v>
      </c>
      <c r="N27" s="380"/>
    </row>
    <row r="28" spans="1:14" x14ac:dyDescent="0.25">
      <c r="A28" s="375"/>
      <c r="B28" s="406" t="s">
        <v>34</v>
      </c>
      <c r="C28" s="401">
        <f>'4 weeks ago'!K11</f>
        <v>0</v>
      </c>
      <c r="D28" s="401">
        <f>'3 weeks ago'!K11</f>
        <v>1</v>
      </c>
      <c r="E28" s="402">
        <f>'Previous Week'!K11</f>
        <v>0</v>
      </c>
      <c r="F28" s="402">
        <f>'Last Week'!K11</f>
        <v>0</v>
      </c>
      <c r="G28" s="452">
        <f t="shared" si="5"/>
        <v>1</v>
      </c>
      <c r="H28" s="491">
        <f>'2016 Data'!K45</f>
        <v>0.38251366120218577</v>
      </c>
      <c r="I28" s="418">
        <f>'YTD 2017'!K11</f>
        <v>3</v>
      </c>
      <c r="J28" s="401">
        <f>'YTD 2016'!K11</f>
        <v>2</v>
      </c>
      <c r="K28" s="401">
        <f>'YTD 2015'!K11</f>
        <v>0</v>
      </c>
      <c r="L28" s="404">
        <f t="shared" si="6"/>
        <v>1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ago'!B11</f>
        <v>1</v>
      </c>
      <c r="D29" s="401">
        <f>'3 weeks ago'!B11</f>
        <v>0</v>
      </c>
      <c r="E29" s="402">
        <f>'Previous Week'!B11</f>
        <v>0</v>
      </c>
      <c r="F29" s="402">
        <f>'Last Week'!B11</f>
        <v>0</v>
      </c>
      <c r="G29" s="452">
        <f t="shared" si="5"/>
        <v>1</v>
      </c>
      <c r="H29" s="491">
        <f>'2016 Data'!B45</f>
        <v>3.0601092896174862</v>
      </c>
      <c r="I29" s="418">
        <f>'YTD 2017'!B11</f>
        <v>9</v>
      </c>
      <c r="J29" s="401">
        <f>'YTD 2016'!B11</f>
        <v>10</v>
      </c>
      <c r="K29" s="401">
        <f>'YTD 2015'!B11</f>
        <v>5</v>
      </c>
      <c r="L29" s="404">
        <f t="shared" si="6"/>
        <v>-1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7</v>
      </c>
      <c r="D30" s="420">
        <f t="shared" si="8"/>
        <v>9</v>
      </c>
      <c r="E30" s="420">
        <f t="shared" si="8"/>
        <v>2</v>
      </c>
      <c r="F30" s="421">
        <f t="shared" si="8"/>
        <v>6</v>
      </c>
      <c r="G30" s="455">
        <f t="shared" si="8"/>
        <v>24</v>
      </c>
      <c r="H30" s="494">
        <f t="shared" si="8"/>
        <v>32.743169398907099</v>
      </c>
      <c r="I30" s="422">
        <f t="shared" si="8"/>
        <v>118</v>
      </c>
      <c r="J30" s="420">
        <f t="shared" si="8"/>
        <v>154</v>
      </c>
      <c r="K30" s="420">
        <f t="shared" si="8"/>
        <v>76</v>
      </c>
      <c r="L30" s="412">
        <f>(I30-J30)/J30</f>
        <v>-0.23376623376623376</v>
      </c>
      <c r="M30" s="413">
        <f>(I30-K30)/K30</f>
        <v>0.55263157894736847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10</v>
      </c>
      <c r="E31" s="409">
        <f t="shared" si="9"/>
        <v>3</v>
      </c>
      <c r="F31" s="410">
        <f t="shared" si="9"/>
        <v>6</v>
      </c>
      <c r="G31" s="453">
        <f t="shared" si="9"/>
        <v>26</v>
      </c>
      <c r="H31" s="492">
        <f t="shared" si="9"/>
        <v>38.32828804551238</v>
      </c>
      <c r="I31" s="411">
        <f t="shared" si="9"/>
        <v>128</v>
      </c>
      <c r="J31" s="409">
        <f t="shared" si="9"/>
        <v>168</v>
      </c>
      <c r="K31" s="409">
        <f t="shared" si="9"/>
        <v>86</v>
      </c>
      <c r="L31" s="412">
        <f>(I31-J31)/J31</f>
        <v>-0.23809523809523808</v>
      </c>
      <c r="M31" s="413">
        <f>(I31-K31)/K31</f>
        <v>0.48837209302325579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-40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ago'!S11</f>
        <v>0</v>
      </c>
      <c r="D41" s="441">
        <f>'3 weeks ago'!S11</f>
        <v>0</v>
      </c>
      <c r="E41" s="441">
        <f>'Previous Week'!S11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Data'!R45</f>
        <v>1.2273972602739727</v>
      </c>
      <c r="I41" s="443">
        <f>'YTD 2017'!S11</f>
        <v>4</v>
      </c>
      <c r="J41" s="441">
        <f>'YTD 2016'!S11</f>
        <v>5</v>
      </c>
      <c r="K41" s="441">
        <f>'YTD 2015'!S11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ago'!T11</f>
        <v>0</v>
      </c>
      <c r="D42" s="447">
        <f>'3 weeks ago'!T11</f>
        <v>1</v>
      </c>
      <c r="E42" s="446">
        <f>'Previous Week'!T11</f>
        <v>1</v>
      </c>
      <c r="F42" s="460">
        <f>'Last Week'!T11</f>
        <v>0</v>
      </c>
      <c r="G42" s="452">
        <f t="shared" si="10"/>
        <v>2</v>
      </c>
      <c r="H42" s="502">
        <f>'2016 Data'!S45</f>
        <v>1.7643835616438357</v>
      </c>
      <c r="I42" s="448">
        <f>'YTD 2017'!T11</f>
        <v>7</v>
      </c>
      <c r="J42" s="446">
        <f>'YTD 2016'!T11</f>
        <v>10</v>
      </c>
      <c r="K42" s="446">
        <f>'YTD 2015'!T11</f>
        <v>9</v>
      </c>
      <c r="L42" s="412">
        <f>(I42-J42)/J42</f>
        <v>-0.3</v>
      </c>
      <c r="M42" s="413">
        <f>(I42-K42)/K42</f>
        <v>-0.22222222222222221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3" priority="1" stopIfTrue="1" operator="greaterThan">
      <formula>0</formula>
    </cfRule>
  </conditionalFormatting>
  <conditionalFormatting sqref="L32:M32">
    <cfRule type="cellIs" dxfId="8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Data'!F46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198</v>
      </c>
      <c r="C12" s="401">
        <f>'4 weeks ago'!M12</f>
        <v>1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8" si="2">SUM(C12:F12)</f>
        <v>1</v>
      </c>
      <c r="H12" s="491">
        <f>'2016 Data'!M46</f>
        <v>7.650273224043716E-2</v>
      </c>
      <c r="I12" s="403">
        <f>'YTD 2017'!M12</f>
        <v>1</v>
      </c>
      <c r="J12" s="401">
        <f>'YTD 2016'!M12</f>
        <v>1</v>
      </c>
      <c r="K12" s="401">
        <f>'YTD 2015'!M12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6">
        <f>'New Rapes'!E15</f>
        <v>0</v>
      </c>
      <c r="D13" s="556">
        <f>'New Rapes'!D15</f>
        <v>0</v>
      </c>
      <c r="E13" s="555">
        <f>'New Rapes'!C15</f>
        <v>0</v>
      </c>
      <c r="F13" s="555">
        <f>'New Rapes'!B15</f>
        <v>0</v>
      </c>
      <c r="G13" s="452">
        <f t="shared" ref="G13" si="3">SUM(C13:F13)</f>
        <v>0</v>
      </c>
      <c r="H13" s="576">
        <v>0</v>
      </c>
      <c r="I13" s="557">
        <f>'New Rapes'!G15</f>
        <v>2</v>
      </c>
      <c r="J13" s="556">
        <f>'New Rapes'!H15</f>
        <v>0</v>
      </c>
      <c r="K13" s="556">
        <f>'New Rapes'!I15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Data'!D46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ago'!Q12</f>
        <v>0</v>
      </c>
      <c r="D15" s="401">
        <f>'3 weeks ago'!Q12</f>
        <v>0</v>
      </c>
      <c r="E15" s="402">
        <f>'Previous Week'!Q12</f>
        <v>0</v>
      </c>
      <c r="F15" s="402">
        <f>'Last Week'!Q12</f>
        <v>0</v>
      </c>
      <c r="G15" s="452">
        <f t="shared" si="2"/>
        <v>0</v>
      </c>
      <c r="H15" s="491">
        <f>'2016 Data'!Q46</f>
        <v>1.6830601092896174</v>
      </c>
      <c r="I15" s="403">
        <f>'YTD 2017'!Q12</f>
        <v>2</v>
      </c>
      <c r="J15" s="401">
        <f>'YTD 2016'!Q12</f>
        <v>6</v>
      </c>
      <c r="K15" s="401">
        <f>'YTD 2015'!Q12</f>
        <v>5</v>
      </c>
      <c r="L15" s="404">
        <f t="shared" si="0"/>
        <v>-4</v>
      </c>
      <c r="M15" s="407">
        <f t="shared" si="1"/>
        <v>-3</v>
      </c>
      <c r="N15" s="380"/>
    </row>
    <row r="16" spans="1:14" x14ac:dyDescent="0.25">
      <c r="A16" s="375"/>
      <c r="B16" s="406" t="s">
        <v>31</v>
      </c>
      <c r="C16" s="401">
        <f>'4 weeks ago'!O12</f>
        <v>0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0</v>
      </c>
      <c r="H16" s="491">
        <f>'2016 Data'!O46</f>
        <v>0.15300546448087432</v>
      </c>
      <c r="I16" s="403">
        <f>'YTD 2017'!O12</f>
        <v>0</v>
      </c>
      <c r="J16" s="401">
        <f>'YTD 2016'!O12</f>
        <v>0</v>
      </c>
      <c r="K16" s="401">
        <f>'YTD 2015'!O12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ago'!E12</f>
        <v>0</v>
      </c>
      <c r="D17" s="401">
        <f>'3 weeks ago'!E12</f>
        <v>0</v>
      </c>
      <c r="E17" s="402">
        <f>'Previous Week'!E12</f>
        <v>0</v>
      </c>
      <c r="F17" s="402">
        <f>'Last Week'!E12</f>
        <v>0</v>
      </c>
      <c r="G17" s="452">
        <f t="shared" si="2"/>
        <v>0</v>
      </c>
      <c r="H17" s="491">
        <f>'2016 Data'!E46</f>
        <v>0.61202185792349728</v>
      </c>
      <c r="I17" s="403">
        <f>'YTD 2017'!E12</f>
        <v>1</v>
      </c>
      <c r="J17" s="401">
        <f>'YTD 2016'!E12</f>
        <v>1</v>
      </c>
      <c r="K17" s="401">
        <f>'YTD 2015'!E12</f>
        <v>1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ago'!J12</f>
        <v>0</v>
      </c>
      <c r="D18" s="401">
        <f>'3 weeks ago'!J12</f>
        <v>0</v>
      </c>
      <c r="E18" s="402">
        <f>'Previous Week'!J12</f>
        <v>0</v>
      </c>
      <c r="F18" s="402">
        <f>'Last Week'!J12</f>
        <v>0</v>
      </c>
      <c r="G18" s="452">
        <f t="shared" si="2"/>
        <v>0</v>
      </c>
      <c r="H18" s="491">
        <f>'2016 Data'!J46</f>
        <v>0.76502732240437155</v>
      </c>
      <c r="I18" s="403">
        <f>'YTD 2017'!J12</f>
        <v>3</v>
      </c>
      <c r="J18" s="401">
        <f>'YTD 2016'!J12</f>
        <v>2</v>
      </c>
      <c r="K18" s="401">
        <f>'YTD 2015'!J12</f>
        <v>1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3.2896174863387975</v>
      </c>
      <c r="I19" s="411">
        <f t="shared" si="4"/>
        <v>11</v>
      </c>
      <c r="J19" s="409">
        <f t="shared" si="4"/>
        <v>10</v>
      </c>
      <c r="K19" s="409">
        <f t="shared" si="4"/>
        <v>7</v>
      </c>
      <c r="L19" s="412">
        <f>(I19-J19)/J19</f>
        <v>0.1</v>
      </c>
      <c r="M19" s="413">
        <f>(I19-K19)/K19</f>
        <v>0.5714285714285714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ago'!C12</f>
        <v>1</v>
      </c>
      <c r="D21" s="401">
        <f>'3 weeks ago'!C12</f>
        <v>0</v>
      </c>
      <c r="E21" s="402">
        <f>'Previous Week'!C12</f>
        <v>0</v>
      </c>
      <c r="F21" s="402">
        <f>'Last Week'!C12</f>
        <v>0</v>
      </c>
      <c r="G21" s="452">
        <f t="shared" ref="G21:G29" si="5">SUM(C21:F21)</f>
        <v>1</v>
      </c>
      <c r="H21" s="491">
        <f>'2016 Data'!C46</f>
        <v>7.650273224043716E-2</v>
      </c>
      <c r="I21" s="416">
        <f>'YTD 2017'!C12</f>
        <v>1</v>
      </c>
      <c r="J21" s="401">
        <f>'YTD 2016'!C12</f>
        <v>0</v>
      </c>
      <c r="K21" s="401">
        <f>'YTD 2015'!C12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ago'!N12</f>
        <v>0</v>
      </c>
      <c r="D22" s="401">
        <f>'3 weeks ago'!N12</f>
        <v>0</v>
      </c>
      <c r="E22" s="402">
        <f>'Previous Week'!N12</f>
        <v>2</v>
      </c>
      <c r="F22" s="402">
        <f>'Last Week'!N12</f>
        <v>0</v>
      </c>
      <c r="G22" s="452">
        <f t="shared" si="5"/>
        <v>2</v>
      </c>
      <c r="H22" s="491">
        <f>'2016 Data'!N46</f>
        <v>1.3005464480874318</v>
      </c>
      <c r="I22" s="418">
        <f>'YTD 2017'!N12</f>
        <v>2</v>
      </c>
      <c r="J22" s="401">
        <f>'YTD 2016'!N12</f>
        <v>2</v>
      </c>
      <c r="K22" s="401">
        <f>'YTD 2015'!N12</f>
        <v>3</v>
      </c>
      <c r="L22" s="404">
        <f t="shared" si="6"/>
        <v>0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ago'!L12</f>
        <v>0</v>
      </c>
      <c r="D23" s="401">
        <f>'3 weeks ago'!L12</f>
        <v>0</v>
      </c>
      <c r="E23" s="402">
        <f>'Previous Week'!L12</f>
        <v>0</v>
      </c>
      <c r="F23" s="402">
        <f>'Last Week'!L12</f>
        <v>0</v>
      </c>
      <c r="G23" s="452">
        <f t="shared" si="5"/>
        <v>0</v>
      </c>
      <c r="H23" s="491">
        <f>'2016 Data'!L46</f>
        <v>0.38251366120218577</v>
      </c>
      <c r="I23" s="418">
        <f>'YTD 2017'!L12</f>
        <v>1</v>
      </c>
      <c r="J23" s="401">
        <f>'YTD 2016'!L12</f>
        <v>2</v>
      </c>
      <c r="K23" s="401">
        <f>'YTD 2015'!L12</f>
        <v>2</v>
      </c>
      <c r="L23" s="404">
        <f t="shared" si="6"/>
        <v>-1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ago'!P12</f>
        <v>0</v>
      </c>
      <c r="D24" s="401">
        <f>'3 weeks ago'!P12</f>
        <v>0</v>
      </c>
      <c r="E24" s="402">
        <f>'Previous Week'!P12</f>
        <v>0</v>
      </c>
      <c r="F24" s="402">
        <f>'Last Week'!P12</f>
        <v>1</v>
      </c>
      <c r="G24" s="452">
        <f t="shared" si="5"/>
        <v>1</v>
      </c>
      <c r="H24" s="491">
        <f>'2016 Data'!P46</f>
        <v>1.9890710382513661</v>
      </c>
      <c r="I24" s="418">
        <f>'YTD 2017'!P12</f>
        <v>6</v>
      </c>
      <c r="J24" s="401">
        <f>'YTD 2016'!P12</f>
        <v>7</v>
      </c>
      <c r="K24" s="401">
        <f>'YTD 2015'!P12</f>
        <v>7</v>
      </c>
      <c r="L24" s="404">
        <f t="shared" si="6"/>
        <v>-1</v>
      </c>
      <c r="M24" s="407">
        <f t="shared" si="7"/>
        <v>-1</v>
      </c>
      <c r="N24" s="380"/>
    </row>
    <row r="25" spans="1:14" x14ac:dyDescent="0.25">
      <c r="A25" s="375"/>
      <c r="B25" s="406" t="s">
        <v>7</v>
      </c>
      <c r="C25" s="401">
        <f>'4 weeks ago'!G12</f>
        <v>0</v>
      </c>
      <c r="D25" s="401">
        <f>'3 weeks ago'!G12</f>
        <v>0</v>
      </c>
      <c r="E25" s="402">
        <f>'Previous Week'!G12</f>
        <v>0</v>
      </c>
      <c r="F25" s="402">
        <f>'Last Week'!G12</f>
        <v>2</v>
      </c>
      <c r="G25" s="452">
        <f t="shared" si="5"/>
        <v>2</v>
      </c>
      <c r="H25" s="491">
        <f>'2016 Data'!G46</f>
        <v>4.4371584699453557</v>
      </c>
      <c r="I25" s="418">
        <f>'YTD 2017'!G12</f>
        <v>14</v>
      </c>
      <c r="J25" s="401">
        <f>'YTD 2016'!G12</f>
        <v>28</v>
      </c>
      <c r="K25" s="401">
        <f>'YTD 2015'!G12</f>
        <v>14</v>
      </c>
      <c r="L25" s="404">
        <f t="shared" si="6"/>
        <v>-14</v>
      </c>
      <c r="M25" s="407">
        <f t="shared" si="7"/>
        <v>0</v>
      </c>
      <c r="N25" s="380"/>
    </row>
    <row r="26" spans="1:14" x14ac:dyDescent="0.25">
      <c r="A26" s="375"/>
      <c r="B26" s="406" t="s">
        <v>68</v>
      </c>
      <c r="C26" s="401">
        <f>'4 weeks ago'!I12</f>
        <v>0</v>
      </c>
      <c r="D26" s="401">
        <f>'3 weeks ago'!I12</f>
        <v>0</v>
      </c>
      <c r="E26" s="402">
        <f>'Previous Week'!I12</f>
        <v>1</v>
      </c>
      <c r="F26" s="402">
        <f>'Last Week'!I12</f>
        <v>0</v>
      </c>
      <c r="G26" s="452">
        <f t="shared" si="5"/>
        <v>1</v>
      </c>
      <c r="H26" s="491">
        <f>'2016 Data'!I46</f>
        <v>1.6830601092896174</v>
      </c>
      <c r="I26" s="418">
        <f>'YTD 2017'!I12</f>
        <v>3</v>
      </c>
      <c r="J26" s="401">
        <f>'YTD 2016'!I12</f>
        <v>4</v>
      </c>
      <c r="K26" s="401">
        <f>'YTD 2015'!I12</f>
        <v>1</v>
      </c>
      <c r="L26" s="404">
        <f t="shared" si="6"/>
        <v>-1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ago'!H12</f>
        <v>0</v>
      </c>
      <c r="D27" s="401">
        <f>'3 weeks ago'!H12</f>
        <v>1</v>
      </c>
      <c r="E27" s="402">
        <f>'Previous Week'!H12</f>
        <v>2</v>
      </c>
      <c r="F27" s="402">
        <f>'Last Week'!H12</f>
        <v>0</v>
      </c>
      <c r="G27" s="452">
        <f t="shared" si="5"/>
        <v>3</v>
      </c>
      <c r="H27" s="491">
        <f>'2016 Data'!H46</f>
        <v>3.1366120218579234</v>
      </c>
      <c r="I27" s="418">
        <f>'YTD 2017'!H12</f>
        <v>12</v>
      </c>
      <c r="J27" s="401">
        <f>'YTD 2016'!H12</f>
        <v>18</v>
      </c>
      <c r="K27" s="401">
        <f>'YTD 2015'!H12</f>
        <v>12</v>
      </c>
      <c r="L27" s="404">
        <f>I27-J27</f>
        <v>-6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ago'!K12</f>
        <v>0</v>
      </c>
      <c r="D28" s="401">
        <f>'3 weeks ago'!K12</f>
        <v>0</v>
      </c>
      <c r="E28" s="402">
        <f>'Previous Week'!K12</f>
        <v>1</v>
      </c>
      <c r="F28" s="402">
        <f>'Last Week'!K12</f>
        <v>0</v>
      </c>
      <c r="G28" s="452">
        <f t="shared" si="5"/>
        <v>1</v>
      </c>
      <c r="H28" s="491">
        <f>'2016 Data'!K46</f>
        <v>0.30601092896174864</v>
      </c>
      <c r="I28" s="418">
        <f>'YTD 2017'!K12</f>
        <v>1</v>
      </c>
      <c r="J28" s="401">
        <f>'YTD 2016'!K12</f>
        <v>0</v>
      </c>
      <c r="K28" s="401">
        <f>'YTD 2015'!K12</f>
        <v>0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ago'!B12</f>
        <v>0</v>
      </c>
      <c r="D29" s="401">
        <f>'3 weeks ago'!B12</f>
        <v>0</v>
      </c>
      <c r="E29" s="402">
        <f>'Previous Week'!B12</f>
        <v>0</v>
      </c>
      <c r="F29" s="402">
        <f>'Last Week'!B12</f>
        <v>0</v>
      </c>
      <c r="G29" s="452">
        <f t="shared" si="5"/>
        <v>0</v>
      </c>
      <c r="H29" s="491">
        <f>'2016 Data'!B46</f>
        <v>1.9890710382513661</v>
      </c>
      <c r="I29" s="418">
        <f>'YTD 2017'!B12</f>
        <v>3</v>
      </c>
      <c r="J29" s="401">
        <f>'YTD 2016'!B12</f>
        <v>7</v>
      </c>
      <c r="K29" s="401">
        <f>'YTD 2015'!B12</f>
        <v>6</v>
      </c>
      <c r="L29" s="404">
        <f t="shared" si="6"/>
        <v>-4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</v>
      </c>
      <c r="D30" s="420">
        <f t="shared" si="8"/>
        <v>1</v>
      </c>
      <c r="E30" s="420">
        <f t="shared" si="8"/>
        <v>6</v>
      </c>
      <c r="F30" s="421">
        <f t="shared" si="8"/>
        <v>3</v>
      </c>
      <c r="G30" s="455">
        <f t="shared" si="8"/>
        <v>11</v>
      </c>
      <c r="H30" s="494">
        <f t="shared" si="8"/>
        <v>15.300546448087431</v>
      </c>
      <c r="I30" s="422">
        <f t="shared" si="8"/>
        <v>43</v>
      </c>
      <c r="J30" s="420">
        <f t="shared" si="8"/>
        <v>68</v>
      </c>
      <c r="K30" s="420">
        <f t="shared" si="8"/>
        <v>45</v>
      </c>
      <c r="L30" s="412">
        <f>(I30-J30)/J30</f>
        <v>-0.36764705882352944</v>
      </c>
      <c r="M30" s="413">
        <f>(I30-K30)/K30</f>
        <v>-4.4444444444444446E-2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1</v>
      </c>
      <c r="E31" s="409">
        <f t="shared" si="9"/>
        <v>6</v>
      </c>
      <c r="F31" s="410">
        <f t="shared" si="9"/>
        <v>3</v>
      </c>
      <c r="G31" s="453">
        <f t="shared" si="9"/>
        <v>12</v>
      </c>
      <c r="H31" s="492">
        <f t="shared" si="9"/>
        <v>18.590163934426229</v>
      </c>
      <c r="I31" s="411">
        <f t="shared" si="9"/>
        <v>54</v>
      </c>
      <c r="J31" s="409">
        <f t="shared" si="9"/>
        <v>78</v>
      </c>
      <c r="K31" s="409">
        <f t="shared" si="9"/>
        <v>52</v>
      </c>
      <c r="L31" s="412">
        <f>(I31-J31)/J31</f>
        <v>-0.30769230769230771</v>
      </c>
      <c r="M31" s="413">
        <f>(I31-K31)/K31</f>
        <v>3.8461538461538464E-2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ago'!S12</f>
        <v>0</v>
      </c>
      <c r="D41" s="441">
        <f>'3 weeks ago'!S12</f>
        <v>0</v>
      </c>
      <c r="E41" s="441">
        <f>'Previous Week'!S12</f>
        <v>0</v>
      </c>
      <c r="F41" s="442">
        <f>'Last Week'!S12</f>
        <v>0</v>
      </c>
      <c r="G41" s="452">
        <f t="shared" ref="G41:G42" si="10">SUM(C41:F41)</f>
        <v>0</v>
      </c>
      <c r="H41" s="501">
        <f>'2016 Data'!R46</f>
        <v>3.5287671232876714</v>
      </c>
      <c r="I41" s="443">
        <f>'YTD 2017'!S12</f>
        <v>12</v>
      </c>
      <c r="J41" s="441">
        <f>'YTD 2016'!S12</f>
        <v>20</v>
      </c>
      <c r="K41" s="441">
        <f>'YTD 2015'!S12</f>
        <v>13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ago'!T12</f>
        <v>2</v>
      </c>
      <c r="D42" s="447">
        <f>'3 weeks ago'!T12</f>
        <v>0</v>
      </c>
      <c r="E42" s="446">
        <f>'Previous Week'!T12</f>
        <v>0</v>
      </c>
      <c r="F42" s="460">
        <f>'Last Week'!T12</f>
        <v>0</v>
      </c>
      <c r="G42" s="452">
        <f t="shared" si="10"/>
        <v>2</v>
      </c>
      <c r="H42" s="502">
        <f>'2016 Data'!S46</f>
        <v>3.5287671232876714</v>
      </c>
      <c r="I42" s="448">
        <f>'YTD 2017'!T12</f>
        <v>8</v>
      </c>
      <c r="J42" s="446">
        <f>'YTD 2016'!T12</f>
        <v>15</v>
      </c>
      <c r="K42" s="446">
        <f>'YTD 2015'!T12</f>
        <v>15</v>
      </c>
      <c r="L42" s="412">
        <f>(I42-J42)/J42</f>
        <v>-0.46666666666666667</v>
      </c>
      <c r="M42" s="413">
        <f>(I42-K42)/K42</f>
        <v>-0.46666666666666667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1" priority="1" stopIfTrue="1" operator="greaterThan">
      <formula>0</formula>
    </cfRule>
  </conditionalFormatting>
  <conditionalFormatting sqref="L32:M32">
    <cfRule type="cellIs" dxfId="8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Data'!F47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8" si="2">SUM(C12:F12)</f>
        <v>0</v>
      </c>
      <c r="H12" s="491">
        <f>'2016 Data'!M47</f>
        <v>0.15300546448087432</v>
      </c>
      <c r="I12" s="403">
        <f>'YTD 2017'!M13</f>
        <v>1</v>
      </c>
      <c r="J12" s="401">
        <f>'YTD 2016'!M13</f>
        <v>0</v>
      </c>
      <c r="K12" s="401">
        <f>'YTD 2015'!M13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Rapes'!E16</f>
        <v>0</v>
      </c>
      <c r="D13" s="556">
        <f>'New Rapes'!D16</f>
        <v>0</v>
      </c>
      <c r="E13" s="555">
        <f>'New Rapes'!C16</f>
        <v>0</v>
      </c>
      <c r="F13" s="555">
        <f>'New Rapes'!B16</f>
        <v>0</v>
      </c>
      <c r="G13" s="452">
        <f t="shared" ref="G13" si="3">SUM(C13:F13)</f>
        <v>0</v>
      </c>
      <c r="H13" s="576">
        <v>0.15342465753424658</v>
      </c>
      <c r="I13" s="557">
        <f>'New Rapes'!G16</f>
        <v>0</v>
      </c>
      <c r="J13" s="556">
        <f>'New Rapes'!H16</f>
        <v>0</v>
      </c>
      <c r="K13" s="556">
        <f>'New Rapes'!I16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ago'!D13</f>
        <v>0</v>
      </c>
      <c r="D14" s="401">
        <f>'3 weeks ago'!D13</f>
        <v>0</v>
      </c>
      <c r="E14" s="402">
        <f>'Previous Week'!D13</f>
        <v>0</v>
      </c>
      <c r="F14" s="402">
        <f>'Last Week'!D13</f>
        <v>0</v>
      </c>
      <c r="G14" s="452">
        <f t="shared" si="2"/>
        <v>0</v>
      </c>
      <c r="H14" s="491">
        <f>'2016 Data'!D47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ago'!Q13</f>
        <v>0</v>
      </c>
      <c r="D15" s="401">
        <f>'3 weeks ago'!Q13</f>
        <v>0</v>
      </c>
      <c r="E15" s="402">
        <f>'Previous Week'!Q13</f>
        <v>1</v>
      </c>
      <c r="F15" s="402">
        <f>'Last Week'!Q13</f>
        <v>1</v>
      </c>
      <c r="G15" s="452">
        <f t="shared" si="2"/>
        <v>2</v>
      </c>
      <c r="H15" s="491">
        <f>'2016 Data'!Q47</f>
        <v>3.1366120218579234</v>
      </c>
      <c r="I15" s="403">
        <f>'YTD 2017'!Q13</f>
        <v>10</v>
      </c>
      <c r="J15" s="401">
        <f>'YTD 2016'!Q13</f>
        <v>13</v>
      </c>
      <c r="K15" s="401">
        <f>'YTD 2015'!Q13</f>
        <v>6</v>
      </c>
      <c r="L15" s="404">
        <f t="shared" si="0"/>
        <v>-3</v>
      </c>
      <c r="M15" s="407">
        <f t="shared" si="1"/>
        <v>4</v>
      </c>
      <c r="N15" s="380"/>
    </row>
    <row r="16" spans="1:14" x14ac:dyDescent="0.25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Data'!O47</f>
        <v>0.15300546448087432</v>
      </c>
      <c r="I16" s="403">
        <f>'YTD 2017'!O13</f>
        <v>0</v>
      </c>
      <c r="J16" s="401">
        <f>'YTD 2016'!O13</f>
        <v>0</v>
      </c>
      <c r="K16" s="401">
        <f>'YTD 2015'!O13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0</v>
      </c>
      <c r="G17" s="452">
        <f t="shared" si="2"/>
        <v>0</v>
      </c>
      <c r="H17" s="491">
        <f>'2016 Data'!E47</f>
        <v>7.650273224043716E-2</v>
      </c>
      <c r="I17" s="403">
        <f>'YTD 2017'!E13</f>
        <v>1</v>
      </c>
      <c r="J17" s="401">
        <f>'YTD 2016'!E13</f>
        <v>0</v>
      </c>
      <c r="K17" s="401">
        <f>'YTD 2015'!E13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ago'!J13</f>
        <v>0</v>
      </c>
      <c r="D18" s="401">
        <f>'3 weeks ago'!J13</f>
        <v>0</v>
      </c>
      <c r="E18" s="402">
        <f>'Previous Week'!J13</f>
        <v>0</v>
      </c>
      <c r="F18" s="402">
        <f>'Last Week'!J13</f>
        <v>0</v>
      </c>
      <c r="G18" s="452">
        <f t="shared" si="2"/>
        <v>0</v>
      </c>
      <c r="H18" s="491">
        <f>'2016 Data'!J47</f>
        <v>0.45901639344262296</v>
      </c>
      <c r="I18" s="403">
        <f>'YTD 2017'!J13</f>
        <v>1</v>
      </c>
      <c r="J18" s="401">
        <f>'YTD 2016'!J13</f>
        <v>1</v>
      </c>
      <c r="K18" s="401">
        <f>'YTD 2015'!J13</f>
        <v>0</v>
      </c>
      <c r="L18" s="404">
        <f t="shared" si="0"/>
        <v>0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2</v>
      </c>
      <c r="H19" s="492">
        <f t="shared" si="4"/>
        <v>4.2845721985178535</v>
      </c>
      <c r="I19" s="411">
        <f t="shared" si="4"/>
        <v>14</v>
      </c>
      <c r="J19" s="409">
        <f t="shared" si="4"/>
        <v>14</v>
      </c>
      <c r="K19" s="409">
        <f t="shared" si="4"/>
        <v>10</v>
      </c>
      <c r="L19" s="412">
        <f>(I19-J19)/J19</f>
        <v>0</v>
      </c>
      <c r="M19" s="413">
        <f>(I19-K19)/K19</f>
        <v>0.4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ago'!C13</f>
        <v>0</v>
      </c>
      <c r="D21" s="401">
        <f>'3 weeks ago'!C13</f>
        <v>0</v>
      </c>
      <c r="E21" s="402">
        <f>'Previous Week'!C13</f>
        <v>0</v>
      </c>
      <c r="F21" s="402">
        <f>'Last Week'!C13</f>
        <v>0</v>
      </c>
      <c r="G21" s="452">
        <f t="shared" ref="G21:G29" si="5">SUM(C21:F21)</f>
        <v>0</v>
      </c>
      <c r="H21" s="491">
        <f>'2016 Data'!C47</f>
        <v>0.53551912568306015</v>
      </c>
      <c r="I21" s="416">
        <f>'YTD 2017'!C13</f>
        <v>1</v>
      </c>
      <c r="J21" s="401">
        <f>'YTD 2016'!C13</f>
        <v>1</v>
      </c>
      <c r="K21" s="401">
        <f>'YTD 2015'!C13</f>
        <v>1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ago'!N13</f>
        <v>0</v>
      </c>
      <c r="D22" s="401">
        <f>'3 weeks ago'!N13</f>
        <v>0</v>
      </c>
      <c r="E22" s="402">
        <f>'Previous Week'!N13</f>
        <v>0</v>
      </c>
      <c r="F22" s="402">
        <f>'Last Week'!N13</f>
        <v>0</v>
      </c>
      <c r="G22" s="452">
        <f t="shared" si="5"/>
        <v>0</v>
      </c>
      <c r="H22" s="491">
        <f>'2016 Data'!N47</f>
        <v>1.4535519125683061</v>
      </c>
      <c r="I22" s="418">
        <f>'YTD 2017'!N13</f>
        <v>5</v>
      </c>
      <c r="J22" s="401">
        <f>'YTD 2016'!N13</f>
        <v>6</v>
      </c>
      <c r="K22" s="401">
        <f>'YTD 2015'!N13</f>
        <v>4</v>
      </c>
      <c r="L22" s="404">
        <f t="shared" si="6"/>
        <v>-1</v>
      </c>
      <c r="M22" s="407">
        <f t="shared" ref="M22:M29" si="7">I22-K22</f>
        <v>1</v>
      </c>
      <c r="N22" s="380"/>
    </row>
    <row r="23" spans="1:14" x14ac:dyDescent="0.25">
      <c r="A23" s="375"/>
      <c r="B23" s="417" t="s">
        <v>62</v>
      </c>
      <c r="C23" s="401">
        <f>'4 weeks ago'!L13</f>
        <v>0</v>
      </c>
      <c r="D23" s="401">
        <f>'3 weeks ago'!L13</f>
        <v>0</v>
      </c>
      <c r="E23" s="402">
        <f>'Previous Week'!L13</f>
        <v>0</v>
      </c>
      <c r="F23" s="402">
        <f>'Last Week'!L13</f>
        <v>0</v>
      </c>
      <c r="G23" s="452">
        <f t="shared" si="5"/>
        <v>0</v>
      </c>
      <c r="H23" s="491">
        <f>'2016 Data'!L47</f>
        <v>0.53551912568306015</v>
      </c>
      <c r="I23" s="418">
        <f>'YTD 2017'!L13</f>
        <v>0</v>
      </c>
      <c r="J23" s="401">
        <f>'YTD 2016'!L13</f>
        <v>3</v>
      </c>
      <c r="K23" s="401">
        <f>'YTD 2015'!L13</f>
        <v>4</v>
      </c>
      <c r="L23" s="404">
        <f t="shared" si="6"/>
        <v>-3</v>
      </c>
      <c r="M23" s="407">
        <f t="shared" si="7"/>
        <v>-4</v>
      </c>
      <c r="N23" s="380"/>
    </row>
    <row r="24" spans="1:14" x14ac:dyDescent="0.25">
      <c r="A24" s="375"/>
      <c r="B24" s="417" t="s">
        <v>33</v>
      </c>
      <c r="C24" s="401">
        <f>'4 weeks ago'!P13</f>
        <v>0</v>
      </c>
      <c r="D24" s="401">
        <f>'3 weeks ago'!P13</f>
        <v>1</v>
      </c>
      <c r="E24" s="402">
        <f>'Previous Week'!P13</f>
        <v>0</v>
      </c>
      <c r="F24" s="402">
        <f>'Last Week'!P13</f>
        <v>1</v>
      </c>
      <c r="G24" s="452">
        <f t="shared" si="5"/>
        <v>2</v>
      </c>
      <c r="H24" s="491">
        <f>'2016 Data'!P47</f>
        <v>5.0491803278688527</v>
      </c>
      <c r="I24" s="418">
        <f>'YTD 2017'!P13</f>
        <v>11</v>
      </c>
      <c r="J24" s="401">
        <f>'YTD 2016'!P13</f>
        <v>18</v>
      </c>
      <c r="K24" s="401">
        <f>'YTD 2015'!P13</f>
        <v>39</v>
      </c>
      <c r="L24" s="404">
        <f t="shared" si="6"/>
        <v>-7</v>
      </c>
      <c r="M24" s="407">
        <f t="shared" si="7"/>
        <v>-28</v>
      </c>
      <c r="N24" s="380"/>
    </row>
    <row r="25" spans="1:14" x14ac:dyDescent="0.25">
      <c r="A25" s="375"/>
      <c r="B25" s="406" t="s">
        <v>7</v>
      </c>
      <c r="C25" s="401">
        <f>'4 weeks ago'!G13</f>
        <v>2</v>
      </c>
      <c r="D25" s="401">
        <f>'3 weeks ago'!G13</f>
        <v>0</v>
      </c>
      <c r="E25" s="402">
        <f>'Previous Week'!G13</f>
        <v>2</v>
      </c>
      <c r="F25" s="402">
        <f>'Last Week'!G13</f>
        <v>2</v>
      </c>
      <c r="G25" s="452">
        <f t="shared" si="5"/>
        <v>6</v>
      </c>
      <c r="H25" s="491">
        <f>'2016 Data'!G47</f>
        <v>10.251366120218579</v>
      </c>
      <c r="I25" s="418">
        <f>'YTD 2017'!G13</f>
        <v>48</v>
      </c>
      <c r="J25" s="401">
        <f>'YTD 2016'!G13</f>
        <v>58</v>
      </c>
      <c r="K25" s="401">
        <f>'YTD 2015'!G13</f>
        <v>32</v>
      </c>
      <c r="L25" s="404">
        <f t="shared" si="6"/>
        <v>-10</v>
      </c>
      <c r="M25" s="407">
        <f t="shared" si="7"/>
        <v>16</v>
      </c>
      <c r="N25" s="380"/>
    </row>
    <row r="26" spans="1:14" x14ac:dyDescent="0.25">
      <c r="A26" s="375"/>
      <c r="B26" s="406" t="s">
        <v>68</v>
      </c>
      <c r="C26" s="401">
        <f>'4 weeks ago'!I13</f>
        <v>1</v>
      </c>
      <c r="D26" s="401">
        <f>'3 weeks ago'!I13</f>
        <v>1</v>
      </c>
      <c r="E26" s="402">
        <f>'Previous Week'!I13</f>
        <v>1</v>
      </c>
      <c r="F26" s="402">
        <f>'Last Week'!I13</f>
        <v>2</v>
      </c>
      <c r="G26" s="452">
        <f t="shared" si="5"/>
        <v>5</v>
      </c>
      <c r="H26" s="491">
        <f>'2016 Data'!I47</f>
        <v>5.1256830601092895</v>
      </c>
      <c r="I26" s="418">
        <f>'YTD 2017'!I13</f>
        <v>30</v>
      </c>
      <c r="J26" s="401">
        <f>'YTD 2016'!I13</f>
        <v>17</v>
      </c>
      <c r="K26" s="401">
        <f>'YTD 2015'!I13</f>
        <v>23</v>
      </c>
      <c r="L26" s="404">
        <f t="shared" si="6"/>
        <v>13</v>
      </c>
      <c r="M26" s="407">
        <f t="shared" si="7"/>
        <v>7</v>
      </c>
      <c r="N26" s="380"/>
    </row>
    <row r="27" spans="1:14" x14ac:dyDescent="0.25">
      <c r="A27" s="375"/>
      <c r="B27" s="406" t="s">
        <v>67</v>
      </c>
      <c r="C27" s="401">
        <f>'4 weeks ago'!H13</f>
        <v>0</v>
      </c>
      <c r="D27" s="401">
        <f>'3 weeks ago'!H13</f>
        <v>0</v>
      </c>
      <c r="E27" s="402">
        <f>'Previous Week'!H13</f>
        <v>0</v>
      </c>
      <c r="F27" s="402">
        <f>'Last Week'!H13</f>
        <v>1</v>
      </c>
      <c r="G27" s="452">
        <f t="shared" si="5"/>
        <v>1</v>
      </c>
      <c r="H27" s="491">
        <f>'2016 Data'!H47</f>
        <v>3.6721311475409837</v>
      </c>
      <c r="I27" s="418">
        <f>'YTD 2017'!H13</f>
        <v>13</v>
      </c>
      <c r="J27" s="401">
        <f>'YTD 2016'!H13</f>
        <v>15</v>
      </c>
      <c r="K27" s="401">
        <f>'YTD 2015'!H13</f>
        <v>13</v>
      </c>
      <c r="L27" s="404">
        <f>I27-J27</f>
        <v>-2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ago'!K13</f>
        <v>0</v>
      </c>
      <c r="D28" s="401">
        <f>'3 weeks ago'!K13</f>
        <v>0</v>
      </c>
      <c r="E28" s="402">
        <f>'Previous Week'!K13</f>
        <v>0</v>
      </c>
      <c r="F28" s="402">
        <f>'Last Week'!K13</f>
        <v>0</v>
      </c>
      <c r="G28" s="452">
        <f t="shared" si="5"/>
        <v>0</v>
      </c>
      <c r="H28" s="491">
        <f>'2016 Data'!K47</f>
        <v>0.76502732240437155</v>
      </c>
      <c r="I28" s="418">
        <f>'YTD 2017'!K13</f>
        <v>2</v>
      </c>
      <c r="J28" s="401">
        <f>'YTD 2016'!K13</f>
        <v>4</v>
      </c>
      <c r="K28" s="401">
        <f>'YTD 2015'!K13</f>
        <v>4</v>
      </c>
      <c r="L28" s="404">
        <f t="shared" si="6"/>
        <v>-2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ago'!B13</f>
        <v>2</v>
      </c>
      <c r="D29" s="401">
        <f>'3 weeks ago'!B13</f>
        <v>0</v>
      </c>
      <c r="E29" s="402">
        <f>'Previous Week'!B13</f>
        <v>1</v>
      </c>
      <c r="F29" s="402">
        <f>'Last Week'!B13</f>
        <v>0</v>
      </c>
      <c r="G29" s="452">
        <f t="shared" si="5"/>
        <v>3</v>
      </c>
      <c r="H29" s="491">
        <f>'2016 Data'!B47</f>
        <v>3.2896174863387979</v>
      </c>
      <c r="I29" s="418">
        <f>'YTD 2017'!B13</f>
        <v>15</v>
      </c>
      <c r="J29" s="401">
        <f>'YTD 2016'!B13</f>
        <v>11</v>
      </c>
      <c r="K29" s="401">
        <f>'YTD 2015'!B13</f>
        <v>9</v>
      </c>
      <c r="L29" s="404">
        <f t="shared" si="6"/>
        <v>4</v>
      </c>
      <c r="M29" s="407">
        <f t="shared" si="7"/>
        <v>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2</v>
      </c>
      <c r="E30" s="420">
        <f t="shared" si="8"/>
        <v>4</v>
      </c>
      <c r="F30" s="421">
        <f t="shared" si="8"/>
        <v>6</v>
      </c>
      <c r="G30" s="455">
        <f t="shared" si="8"/>
        <v>17</v>
      </c>
      <c r="H30" s="494">
        <f t="shared" si="8"/>
        <v>30.6775956284153</v>
      </c>
      <c r="I30" s="422">
        <f t="shared" si="8"/>
        <v>125</v>
      </c>
      <c r="J30" s="420">
        <f t="shared" si="8"/>
        <v>133</v>
      </c>
      <c r="K30" s="420">
        <f t="shared" si="8"/>
        <v>129</v>
      </c>
      <c r="L30" s="412">
        <f>(I30-J30)/J30</f>
        <v>-6.0150375939849621E-2</v>
      </c>
      <c r="M30" s="413">
        <f>(I30-K30)/K30</f>
        <v>-3.1007751937984496E-2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2</v>
      </c>
      <c r="E31" s="409">
        <f t="shared" si="9"/>
        <v>5</v>
      </c>
      <c r="F31" s="410">
        <f t="shared" si="9"/>
        <v>7</v>
      </c>
      <c r="G31" s="453">
        <f t="shared" si="9"/>
        <v>19</v>
      </c>
      <c r="H31" s="492">
        <f t="shared" si="9"/>
        <v>34.962167826933154</v>
      </c>
      <c r="I31" s="411">
        <f t="shared" si="9"/>
        <v>139</v>
      </c>
      <c r="J31" s="409">
        <f t="shared" si="9"/>
        <v>147</v>
      </c>
      <c r="K31" s="409">
        <f t="shared" si="9"/>
        <v>139</v>
      </c>
      <c r="L31" s="412">
        <f>(I31-J31)/J31</f>
        <v>-5.4421768707482991E-2</v>
      </c>
      <c r="M31" s="413">
        <f>(I31-K31)/K31</f>
        <v>0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ago'!S13</f>
        <v>0</v>
      </c>
      <c r="D41" s="441">
        <f>'3 weeks ago'!S13</f>
        <v>1</v>
      </c>
      <c r="E41" s="441">
        <f>'Previous Week'!S13</f>
        <v>1</v>
      </c>
      <c r="F41" s="442">
        <f>'Last Week'!S13</f>
        <v>0</v>
      </c>
      <c r="G41" s="452">
        <f t="shared" ref="G41:G42" si="10">SUM(C41:F41)</f>
        <v>2</v>
      </c>
      <c r="H41" s="501">
        <f>'2016 Data'!R47</f>
        <v>3.8356164383561642</v>
      </c>
      <c r="I41" s="443">
        <f>'YTD 2017'!S13</f>
        <v>13</v>
      </c>
      <c r="J41" s="441">
        <f>'YTD 2016'!S13</f>
        <v>19</v>
      </c>
      <c r="K41" s="441">
        <f>'YTD 2015'!S13</f>
        <v>8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ago'!T13</f>
        <v>2</v>
      </c>
      <c r="D42" s="447">
        <f>'3 weeks ago'!T13</f>
        <v>1</v>
      </c>
      <c r="E42" s="446">
        <f>'Previous Week'!T13</f>
        <v>0</v>
      </c>
      <c r="F42" s="460">
        <f>'Last Week'!T13</f>
        <v>1</v>
      </c>
      <c r="G42" s="452">
        <f t="shared" si="10"/>
        <v>4</v>
      </c>
      <c r="H42" s="502">
        <f>'2016 Data'!S47</f>
        <v>8.8219178082191778</v>
      </c>
      <c r="I42" s="448">
        <f>'YTD 2017'!T13</f>
        <v>28</v>
      </c>
      <c r="J42" s="482">
        <f>'YTD 2016'!T13</f>
        <v>36</v>
      </c>
      <c r="K42" s="446">
        <f>'YTD 2015'!T13</f>
        <v>20</v>
      </c>
      <c r="L42" s="412">
        <f>(I42-J42)/J42</f>
        <v>-0.22222222222222221</v>
      </c>
      <c r="M42" s="413">
        <f>(I42-K42)/K42</f>
        <v>0.4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9" priority="1" stopIfTrue="1" operator="greaterThan">
      <formula>0</formula>
    </cfRule>
  </conditionalFormatting>
  <conditionalFormatting sqref="L32:M32">
    <cfRule type="cellIs" dxfId="7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96"/>
  <sheetViews>
    <sheetView zoomScaleNormal="100" workbookViewId="0">
      <selection activeCell="G23" sqref="G2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  <col min="21" max="21" width="2.42578125" style="464" customWidth="1"/>
  </cols>
  <sheetData>
    <row r="1" spans="1:20" s="92" customFormat="1" x14ac:dyDescent="0.2">
      <c r="A1" s="467" t="s">
        <v>179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ht="15" x14ac:dyDescent="0.25">
      <c r="A3" s="463">
        <v>11</v>
      </c>
      <c r="B3" s="642">
        <v>0</v>
      </c>
      <c r="C3" s="642"/>
      <c r="D3" s="642">
        <v>0</v>
      </c>
      <c r="E3" s="642">
        <v>0</v>
      </c>
      <c r="F3" s="642">
        <v>0</v>
      </c>
      <c r="G3" s="642">
        <v>2</v>
      </c>
      <c r="H3" s="642">
        <v>1</v>
      </c>
      <c r="I3" s="642">
        <v>0</v>
      </c>
      <c r="J3" s="642">
        <v>0</v>
      </c>
      <c r="K3" s="642">
        <v>0</v>
      </c>
      <c r="L3" s="642">
        <v>0</v>
      </c>
      <c r="M3" s="642">
        <v>0</v>
      </c>
      <c r="N3" s="642">
        <v>0</v>
      </c>
      <c r="O3" s="642">
        <v>0</v>
      </c>
      <c r="P3" s="642">
        <v>0</v>
      </c>
      <c r="Q3" s="642">
        <v>0</v>
      </c>
    </row>
    <row r="4" spans="1:20" ht="15" x14ac:dyDescent="0.25">
      <c r="A4" s="463">
        <v>12</v>
      </c>
      <c r="B4" s="642">
        <v>0</v>
      </c>
      <c r="C4" s="642"/>
      <c r="D4" s="642">
        <v>1</v>
      </c>
      <c r="E4" s="642">
        <v>0</v>
      </c>
      <c r="F4" s="642">
        <v>0</v>
      </c>
      <c r="G4" s="642">
        <v>1</v>
      </c>
      <c r="H4" s="642">
        <v>0</v>
      </c>
      <c r="I4" s="642">
        <v>0</v>
      </c>
      <c r="J4" s="642">
        <v>1</v>
      </c>
      <c r="K4" s="642">
        <v>0</v>
      </c>
      <c r="L4" s="642">
        <v>0</v>
      </c>
      <c r="M4" s="642">
        <v>0</v>
      </c>
      <c r="N4" s="642">
        <v>3</v>
      </c>
      <c r="O4" s="642">
        <v>0</v>
      </c>
      <c r="P4" s="642">
        <v>0</v>
      </c>
      <c r="Q4" s="642">
        <v>0</v>
      </c>
      <c r="T4" s="327">
        <v>3</v>
      </c>
    </row>
    <row r="5" spans="1:20" ht="15" x14ac:dyDescent="0.25">
      <c r="A5" s="463">
        <v>13</v>
      </c>
      <c r="B5" s="642">
        <v>0</v>
      </c>
      <c r="C5" s="642"/>
      <c r="D5" s="642">
        <v>0</v>
      </c>
      <c r="E5" s="642">
        <v>0</v>
      </c>
      <c r="F5" s="642">
        <v>0</v>
      </c>
      <c r="G5" s="642">
        <v>1</v>
      </c>
      <c r="H5" s="642">
        <v>0</v>
      </c>
      <c r="I5" s="642">
        <v>0</v>
      </c>
      <c r="J5" s="642">
        <v>0</v>
      </c>
      <c r="K5" s="642">
        <v>0</v>
      </c>
      <c r="L5" s="642">
        <v>0</v>
      </c>
      <c r="M5" s="642">
        <v>0</v>
      </c>
      <c r="N5" s="642">
        <v>0</v>
      </c>
      <c r="O5" s="642">
        <v>0</v>
      </c>
      <c r="P5" s="642">
        <v>1</v>
      </c>
      <c r="Q5" s="642">
        <v>0</v>
      </c>
      <c r="T5" s="327">
        <v>1</v>
      </c>
    </row>
    <row r="6" spans="1:20" ht="15" x14ac:dyDescent="0.25">
      <c r="A6" s="463">
        <v>14</v>
      </c>
      <c r="B6" s="642">
        <v>0</v>
      </c>
      <c r="C6" s="642"/>
      <c r="D6" s="642">
        <v>0</v>
      </c>
      <c r="E6" s="642">
        <v>0</v>
      </c>
      <c r="F6" s="642">
        <v>0</v>
      </c>
      <c r="G6" s="642">
        <v>1</v>
      </c>
      <c r="H6" s="642">
        <v>0</v>
      </c>
      <c r="I6" s="642">
        <v>0</v>
      </c>
      <c r="J6" s="642">
        <v>0</v>
      </c>
      <c r="K6" s="642">
        <v>0</v>
      </c>
      <c r="L6" s="642">
        <v>0</v>
      </c>
      <c r="M6" s="642">
        <v>0</v>
      </c>
      <c r="N6" s="642">
        <v>3</v>
      </c>
      <c r="O6" s="642">
        <v>0</v>
      </c>
      <c r="P6" s="642">
        <v>0</v>
      </c>
      <c r="Q6" s="642">
        <v>0</v>
      </c>
      <c r="T6" s="327">
        <v>2</v>
      </c>
    </row>
    <row r="7" spans="1:20" ht="15" x14ac:dyDescent="0.25">
      <c r="A7" s="463">
        <v>15</v>
      </c>
      <c r="B7" s="642">
        <v>0</v>
      </c>
      <c r="C7" s="642"/>
      <c r="D7" s="642">
        <v>0</v>
      </c>
      <c r="E7" s="642">
        <v>1</v>
      </c>
      <c r="F7" s="642">
        <v>0</v>
      </c>
      <c r="G7" s="642">
        <v>0</v>
      </c>
      <c r="H7" s="642">
        <v>1</v>
      </c>
      <c r="I7" s="642">
        <v>0</v>
      </c>
      <c r="J7" s="642">
        <v>0</v>
      </c>
      <c r="K7" s="642">
        <v>0</v>
      </c>
      <c r="L7" s="642">
        <v>1</v>
      </c>
      <c r="M7" s="642">
        <v>0</v>
      </c>
      <c r="N7" s="642">
        <v>2</v>
      </c>
      <c r="O7" s="642">
        <v>0</v>
      </c>
      <c r="P7" s="642">
        <v>0</v>
      </c>
      <c r="Q7" s="642">
        <v>0</v>
      </c>
      <c r="T7" s="327">
        <v>3</v>
      </c>
    </row>
    <row r="8" spans="1:20" ht="15" x14ac:dyDescent="0.25">
      <c r="A8" s="463">
        <v>16</v>
      </c>
      <c r="B8" s="642">
        <v>1</v>
      </c>
      <c r="C8" s="642"/>
      <c r="D8" s="642">
        <v>0</v>
      </c>
      <c r="E8" s="642">
        <v>0</v>
      </c>
      <c r="F8" s="642">
        <v>0</v>
      </c>
      <c r="G8" s="642">
        <v>1</v>
      </c>
      <c r="H8" s="642">
        <v>1</v>
      </c>
      <c r="I8" s="642">
        <v>1</v>
      </c>
      <c r="J8" s="642">
        <v>0</v>
      </c>
      <c r="K8" s="642">
        <v>1</v>
      </c>
      <c r="L8" s="642">
        <v>0</v>
      </c>
      <c r="M8" s="642">
        <v>0</v>
      </c>
      <c r="N8" s="642">
        <v>0</v>
      </c>
      <c r="O8" s="642">
        <v>0</v>
      </c>
      <c r="P8" s="642">
        <v>0</v>
      </c>
      <c r="Q8" s="642">
        <v>0</v>
      </c>
    </row>
    <row r="9" spans="1:20" x14ac:dyDescent="0.2">
      <c r="S9" s="463"/>
      <c r="T9" s="463"/>
    </row>
    <row r="10" spans="1:20" ht="15" x14ac:dyDescent="0.25">
      <c r="A10" s="463">
        <v>21</v>
      </c>
      <c r="B10" s="643">
        <v>1</v>
      </c>
      <c r="C10" s="643"/>
      <c r="D10" s="643">
        <v>0</v>
      </c>
      <c r="E10" s="643">
        <v>0</v>
      </c>
      <c r="F10" s="643">
        <v>0</v>
      </c>
      <c r="G10" s="643">
        <v>1</v>
      </c>
      <c r="H10" s="643">
        <v>1</v>
      </c>
      <c r="I10" s="643">
        <v>1</v>
      </c>
      <c r="J10" s="643">
        <v>1</v>
      </c>
      <c r="K10" s="643">
        <v>0</v>
      </c>
      <c r="L10" s="643">
        <v>0</v>
      </c>
      <c r="M10" s="643">
        <v>0</v>
      </c>
      <c r="N10" s="643">
        <v>1</v>
      </c>
      <c r="O10" s="643">
        <v>0</v>
      </c>
      <c r="P10" s="643">
        <v>0</v>
      </c>
      <c r="Q10" s="643">
        <v>0</v>
      </c>
      <c r="S10"/>
      <c r="T10" s="327">
        <v>5</v>
      </c>
    </row>
    <row r="11" spans="1:20" ht="15" x14ac:dyDescent="0.25">
      <c r="A11" s="463">
        <v>22</v>
      </c>
      <c r="B11" s="643">
        <v>0</v>
      </c>
      <c r="C11" s="643"/>
      <c r="D11" s="643">
        <v>0</v>
      </c>
      <c r="E11" s="643">
        <v>0</v>
      </c>
      <c r="F11" s="643">
        <v>0</v>
      </c>
      <c r="G11" s="643">
        <v>1</v>
      </c>
      <c r="H11" s="643">
        <v>2</v>
      </c>
      <c r="I11" s="643">
        <v>1</v>
      </c>
      <c r="J11" s="643">
        <v>0</v>
      </c>
      <c r="K11" s="643">
        <v>0</v>
      </c>
      <c r="L11" s="643">
        <v>1</v>
      </c>
      <c r="M11" s="643">
        <v>0</v>
      </c>
      <c r="N11" s="643">
        <v>0</v>
      </c>
      <c r="O11" s="643">
        <v>0</v>
      </c>
      <c r="P11" s="643">
        <v>1</v>
      </c>
      <c r="Q11" s="643">
        <v>0</v>
      </c>
      <c r="S11" s="552"/>
    </row>
    <row r="12" spans="1:20" ht="15" x14ac:dyDescent="0.25">
      <c r="A12" s="463">
        <v>23</v>
      </c>
      <c r="B12" s="643">
        <v>0</v>
      </c>
      <c r="C12" s="643"/>
      <c r="D12" s="643">
        <v>0</v>
      </c>
      <c r="E12" s="643">
        <v>0</v>
      </c>
      <c r="F12" s="643">
        <v>0</v>
      </c>
      <c r="G12" s="643">
        <v>2</v>
      </c>
      <c r="H12" s="643">
        <v>0</v>
      </c>
      <c r="I12" s="643">
        <v>0</v>
      </c>
      <c r="J12" s="643">
        <v>0</v>
      </c>
      <c r="K12" s="643">
        <v>0</v>
      </c>
      <c r="L12" s="643">
        <v>0</v>
      </c>
      <c r="M12" s="643">
        <v>0</v>
      </c>
      <c r="N12" s="643">
        <v>0</v>
      </c>
      <c r="O12" s="643">
        <v>0</v>
      </c>
      <c r="P12" s="643">
        <v>1</v>
      </c>
      <c r="Q12" s="643">
        <v>0</v>
      </c>
      <c r="S12" s="546"/>
    </row>
    <row r="13" spans="1:20" ht="15" x14ac:dyDescent="0.25">
      <c r="A13" s="463">
        <v>24</v>
      </c>
      <c r="B13" s="643">
        <v>0</v>
      </c>
      <c r="C13" s="643"/>
      <c r="D13" s="643">
        <v>0</v>
      </c>
      <c r="E13" s="643">
        <v>0</v>
      </c>
      <c r="F13" s="643">
        <v>0</v>
      </c>
      <c r="G13" s="643">
        <v>2</v>
      </c>
      <c r="H13" s="643">
        <v>1</v>
      </c>
      <c r="I13" s="643">
        <v>2</v>
      </c>
      <c r="J13" s="643">
        <v>0</v>
      </c>
      <c r="K13" s="643">
        <v>0</v>
      </c>
      <c r="L13" s="643">
        <v>0</v>
      </c>
      <c r="M13" s="643">
        <v>0</v>
      </c>
      <c r="N13" s="643">
        <v>0</v>
      </c>
      <c r="O13" s="643">
        <v>0</v>
      </c>
      <c r="P13" s="643">
        <v>1</v>
      </c>
      <c r="Q13" s="643">
        <v>1</v>
      </c>
      <c r="S13" s="546"/>
      <c r="T13" s="327">
        <v>1</v>
      </c>
    </row>
    <row r="14" spans="1:20" ht="15" x14ac:dyDescent="0.25">
      <c r="A14" s="463">
        <v>25</v>
      </c>
      <c r="B14" s="643">
        <v>0</v>
      </c>
      <c r="C14" s="643"/>
      <c r="D14" s="643">
        <v>0</v>
      </c>
      <c r="E14" s="643">
        <v>1</v>
      </c>
      <c r="F14" s="643">
        <v>0</v>
      </c>
      <c r="G14" s="643">
        <v>2</v>
      </c>
      <c r="H14" s="643">
        <v>1</v>
      </c>
      <c r="I14" s="643">
        <v>0</v>
      </c>
      <c r="J14" s="643">
        <v>0</v>
      </c>
      <c r="K14" s="643">
        <v>0</v>
      </c>
      <c r="L14" s="643">
        <v>0</v>
      </c>
      <c r="M14" s="643">
        <v>0</v>
      </c>
      <c r="N14" s="643">
        <v>0</v>
      </c>
      <c r="O14" s="643">
        <v>0</v>
      </c>
      <c r="P14" s="643">
        <v>0</v>
      </c>
      <c r="Q14" s="643">
        <v>0</v>
      </c>
      <c r="S14" s="327">
        <v>4</v>
      </c>
      <c r="T14" s="327">
        <v>1</v>
      </c>
    </row>
    <row r="15" spans="1:20" ht="15" x14ac:dyDescent="0.25">
      <c r="A15" s="463">
        <v>26</v>
      </c>
      <c r="B15" s="643">
        <v>0</v>
      </c>
      <c r="C15" s="643"/>
      <c r="D15" s="643">
        <v>0</v>
      </c>
      <c r="E15" s="643">
        <v>0</v>
      </c>
      <c r="F15" s="643">
        <v>0</v>
      </c>
      <c r="G15" s="643">
        <v>0</v>
      </c>
      <c r="H15" s="643">
        <v>0</v>
      </c>
      <c r="I15" s="643">
        <v>1</v>
      </c>
      <c r="J15" s="643">
        <v>0</v>
      </c>
      <c r="K15" s="643">
        <v>0</v>
      </c>
      <c r="L15" s="643">
        <v>0</v>
      </c>
      <c r="M15" s="643">
        <v>0</v>
      </c>
      <c r="N15" s="643">
        <v>2</v>
      </c>
      <c r="O15" s="643">
        <v>0</v>
      </c>
      <c r="P15" s="643">
        <v>0</v>
      </c>
      <c r="Q15" s="643">
        <v>0</v>
      </c>
      <c r="S15" s="327">
        <v>1</v>
      </c>
      <c r="T15" s="327">
        <v>3</v>
      </c>
    </row>
    <row r="16" spans="1:20" x14ac:dyDescent="0.2">
      <c r="D16" s="537"/>
      <c r="S16" s="463"/>
      <c r="T16" s="463"/>
    </row>
    <row r="17" spans="1:20" ht="15" x14ac:dyDescent="0.25">
      <c r="A17" s="463">
        <v>31</v>
      </c>
      <c r="B17" s="644">
        <v>0</v>
      </c>
      <c r="C17" s="644"/>
      <c r="D17" s="644">
        <v>0</v>
      </c>
      <c r="E17" s="644">
        <v>1</v>
      </c>
      <c r="F17" s="644">
        <v>0</v>
      </c>
      <c r="G17" s="644">
        <v>3</v>
      </c>
      <c r="H17" s="644">
        <v>1</v>
      </c>
      <c r="I17" s="644">
        <v>1</v>
      </c>
      <c r="J17" s="644">
        <v>1</v>
      </c>
      <c r="K17" s="644">
        <v>0</v>
      </c>
      <c r="L17" s="644">
        <v>0</v>
      </c>
      <c r="M17" s="644">
        <v>2</v>
      </c>
      <c r="N17" s="644">
        <v>3</v>
      </c>
      <c r="O17" s="644">
        <v>1</v>
      </c>
      <c r="P17" s="644">
        <v>0</v>
      </c>
      <c r="Q17" s="644">
        <v>0</v>
      </c>
      <c r="S17" s="327">
        <v>7</v>
      </c>
      <c r="T17" s="327">
        <v>10</v>
      </c>
    </row>
    <row r="18" spans="1:20" ht="15" x14ac:dyDescent="0.25">
      <c r="A18" s="463">
        <v>32</v>
      </c>
      <c r="B18" s="644">
        <v>2</v>
      </c>
      <c r="C18" s="644"/>
      <c r="D18" s="644">
        <v>0</v>
      </c>
      <c r="E18" s="644">
        <v>0</v>
      </c>
      <c r="F18" s="644">
        <v>0</v>
      </c>
      <c r="G18" s="644">
        <v>3</v>
      </c>
      <c r="H18" s="644">
        <v>0</v>
      </c>
      <c r="I18" s="644">
        <v>3</v>
      </c>
      <c r="J18" s="644">
        <v>1</v>
      </c>
      <c r="K18" s="644">
        <v>0</v>
      </c>
      <c r="L18" s="644">
        <v>0</v>
      </c>
      <c r="M18" s="644">
        <v>0</v>
      </c>
      <c r="N18" s="644">
        <v>1</v>
      </c>
      <c r="O18" s="644">
        <v>0</v>
      </c>
      <c r="P18" s="644">
        <v>1</v>
      </c>
      <c r="Q18" s="644">
        <v>0</v>
      </c>
      <c r="T18" s="327">
        <v>3</v>
      </c>
    </row>
    <row r="19" spans="1:20" ht="15" x14ac:dyDescent="0.25">
      <c r="A19" s="463">
        <v>33</v>
      </c>
      <c r="B19" s="644">
        <v>1</v>
      </c>
      <c r="C19" s="644"/>
      <c r="D19" s="644">
        <v>0</v>
      </c>
      <c r="E19" s="644">
        <v>2</v>
      </c>
      <c r="F19" s="644">
        <v>0</v>
      </c>
      <c r="G19" s="644">
        <v>3</v>
      </c>
      <c r="H19" s="644">
        <v>0</v>
      </c>
      <c r="I19" s="644">
        <v>2</v>
      </c>
      <c r="J19" s="644">
        <v>0</v>
      </c>
      <c r="K19" s="644">
        <v>0</v>
      </c>
      <c r="L19" s="644">
        <v>1</v>
      </c>
      <c r="M19" s="644">
        <v>0</v>
      </c>
      <c r="N19" s="644">
        <v>0</v>
      </c>
      <c r="O19" s="644">
        <v>0</v>
      </c>
      <c r="P19" s="644">
        <v>0</v>
      </c>
      <c r="Q19" s="644">
        <v>0</v>
      </c>
      <c r="S19" s="327">
        <v>2</v>
      </c>
      <c r="T19" s="327">
        <v>5</v>
      </c>
    </row>
    <row r="20" spans="1:20" ht="15" x14ac:dyDescent="0.25">
      <c r="A20" s="463">
        <v>34</v>
      </c>
      <c r="B20" s="644">
        <v>0</v>
      </c>
      <c r="C20" s="644"/>
      <c r="D20" s="644">
        <v>0</v>
      </c>
      <c r="E20" s="644">
        <v>1</v>
      </c>
      <c r="F20" s="644">
        <v>0</v>
      </c>
      <c r="G20" s="644">
        <v>3</v>
      </c>
      <c r="H20" s="644">
        <v>1</v>
      </c>
      <c r="I20" s="644">
        <v>0</v>
      </c>
      <c r="J20" s="644">
        <v>0</v>
      </c>
      <c r="K20" s="644">
        <v>0</v>
      </c>
      <c r="L20" s="644">
        <v>0</v>
      </c>
      <c r="M20" s="644">
        <v>0</v>
      </c>
      <c r="N20" s="644">
        <v>0</v>
      </c>
      <c r="O20" s="644">
        <v>0</v>
      </c>
      <c r="P20" s="644">
        <v>0</v>
      </c>
      <c r="Q20" s="644">
        <v>2</v>
      </c>
      <c r="T20" s="327">
        <v>4</v>
      </c>
    </row>
    <row r="21" spans="1:20" ht="15" x14ac:dyDescent="0.25">
      <c r="A21" s="463">
        <v>35</v>
      </c>
      <c r="B21" s="644">
        <v>0</v>
      </c>
      <c r="C21" s="644"/>
      <c r="D21" s="644">
        <v>0</v>
      </c>
      <c r="E21" s="644">
        <v>1</v>
      </c>
      <c r="F21" s="644">
        <v>3</v>
      </c>
      <c r="G21" s="644">
        <v>0</v>
      </c>
      <c r="H21" s="644">
        <v>1</v>
      </c>
      <c r="I21" s="644">
        <v>4</v>
      </c>
      <c r="J21" s="644">
        <v>0</v>
      </c>
      <c r="K21" s="644">
        <v>0</v>
      </c>
      <c r="L21" s="644">
        <v>0</v>
      </c>
      <c r="M21" s="644">
        <v>0</v>
      </c>
      <c r="N21" s="644">
        <v>0</v>
      </c>
      <c r="O21" s="644">
        <v>0</v>
      </c>
      <c r="P21" s="644">
        <v>0</v>
      </c>
      <c r="Q21" s="644">
        <v>0</v>
      </c>
      <c r="S21" s="327">
        <v>7</v>
      </c>
      <c r="T21" s="327">
        <v>10</v>
      </c>
    </row>
    <row r="22" spans="1:20" ht="15" x14ac:dyDescent="0.25">
      <c r="A22" s="463">
        <v>37</v>
      </c>
      <c r="B22" s="644">
        <v>1</v>
      </c>
      <c r="C22" s="644"/>
      <c r="D22" s="644">
        <v>0</v>
      </c>
      <c r="E22" s="644">
        <v>1</v>
      </c>
      <c r="F22" s="644">
        <v>0</v>
      </c>
      <c r="G22" s="644">
        <v>3</v>
      </c>
      <c r="H22" s="644">
        <v>0</v>
      </c>
      <c r="I22" s="644">
        <v>0</v>
      </c>
      <c r="J22" s="644">
        <v>0</v>
      </c>
      <c r="K22" s="644">
        <v>1</v>
      </c>
      <c r="L22" s="644">
        <v>0</v>
      </c>
      <c r="M22" s="644">
        <v>0</v>
      </c>
      <c r="N22" s="644">
        <v>0</v>
      </c>
      <c r="O22" s="644">
        <v>0</v>
      </c>
      <c r="P22" s="644">
        <v>5</v>
      </c>
      <c r="Q22" s="644">
        <v>0</v>
      </c>
      <c r="T22" s="327">
        <v>2</v>
      </c>
    </row>
    <row r="23" spans="1:20" ht="12" customHeight="1" x14ac:dyDescent="0.2">
      <c r="S23" s="463"/>
      <c r="T23" s="463"/>
    </row>
    <row r="24" spans="1:20" ht="15" x14ac:dyDescent="0.25">
      <c r="A24" s="463">
        <v>41</v>
      </c>
      <c r="B24" s="645">
        <v>2</v>
      </c>
      <c r="C24" s="645"/>
      <c r="D24" s="645">
        <v>0</v>
      </c>
      <c r="E24" s="645">
        <v>0</v>
      </c>
      <c r="F24" s="645">
        <v>0</v>
      </c>
      <c r="G24" s="645">
        <v>0</v>
      </c>
      <c r="H24" s="645">
        <v>0</v>
      </c>
      <c r="I24" s="645">
        <v>0</v>
      </c>
      <c r="J24" s="645">
        <v>0</v>
      </c>
      <c r="K24" s="645">
        <v>0</v>
      </c>
      <c r="L24" s="645">
        <v>0</v>
      </c>
      <c r="M24" s="645">
        <v>0</v>
      </c>
      <c r="N24" s="645">
        <v>0</v>
      </c>
      <c r="O24" s="645">
        <v>0</v>
      </c>
      <c r="P24" s="645">
        <v>1</v>
      </c>
      <c r="Q24" s="645">
        <v>0</v>
      </c>
    </row>
    <row r="25" spans="1:20" ht="15" x14ac:dyDescent="0.25">
      <c r="A25" s="463">
        <v>42</v>
      </c>
      <c r="B25" s="645">
        <v>1</v>
      </c>
      <c r="C25" s="645"/>
      <c r="D25" s="645">
        <v>0</v>
      </c>
      <c r="E25" s="645">
        <v>0</v>
      </c>
      <c r="F25" s="645">
        <v>0</v>
      </c>
      <c r="G25" s="645">
        <v>8</v>
      </c>
      <c r="H25" s="645">
        <v>1</v>
      </c>
      <c r="I25" s="645">
        <v>0</v>
      </c>
      <c r="J25" s="645">
        <v>0</v>
      </c>
      <c r="K25" s="645">
        <v>0</v>
      </c>
      <c r="L25" s="645">
        <v>0</v>
      </c>
      <c r="M25" s="645">
        <v>0</v>
      </c>
      <c r="N25" s="645">
        <v>1</v>
      </c>
      <c r="O25" s="645">
        <v>0</v>
      </c>
      <c r="P25" s="645">
        <v>0</v>
      </c>
      <c r="Q25" s="645">
        <v>0</v>
      </c>
    </row>
    <row r="26" spans="1:20" ht="15" x14ac:dyDescent="0.25">
      <c r="A26" s="463">
        <v>43</v>
      </c>
      <c r="B26" s="645">
        <v>0</v>
      </c>
      <c r="C26" s="645"/>
      <c r="D26" s="645">
        <v>0</v>
      </c>
      <c r="E26" s="645">
        <v>0</v>
      </c>
      <c r="F26" s="645">
        <v>0</v>
      </c>
      <c r="G26" s="645">
        <v>0</v>
      </c>
      <c r="H26" s="645">
        <v>0</v>
      </c>
      <c r="I26" s="645">
        <v>0</v>
      </c>
      <c r="J26" s="645">
        <v>0</v>
      </c>
      <c r="K26" s="645">
        <v>0</v>
      </c>
      <c r="L26" s="645">
        <v>1</v>
      </c>
      <c r="M26" s="645">
        <v>0</v>
      </c>
      <c r="N26" s="645">
        <v>0</v>
      </c>
      <c r="O26" s="645">
        <v>0</v>
      </c>
      <c r="P26" s="645">
        <v>7</v>
      </c>
      <c r="Q26" s="645">
        <v>0</v>
      </c>
      <c r="T26" s="327">
        <v>2</v>
      </c>
    </row>
    <row r="27" spans="1:20" ht="15" x14ac:dyDescent="0.25">
      <c r="A27" s="463">
        <v>44</v>
      </c>
      <c r="B27" s="645">
        <v>1</v>
      </c>
      <c r="C27" s="645"/>
      <c r="D27" s="645">
        <v>0</v>
      </c>
      <c r="E27" s="645">
        <v>1</v>
      </c>
      <c r="F27" s="645">
        <v>0</v>
      </c>
      <c r="G27" s="645">
        <v>4</v>
      </c>
      <c r="H27" s="645">
        <v>2</v>
      </c>
      <c r="I27" s="645">
        <v>0</v>
      </c>
      <c r="J27" s="645">
        <v>0</v>
      </c>
      <c r="K27" s="645">
        <v>0</v>
      </c>
      <c r="L27" s="645">
        <v>0</v>
      </c>
      <c r="M27" s="645">
        <v>0</v>
      </c>
      <c r="N27" s="645">
        <v>0</v>
      </c>
      <c r="O27" s="645">
        <v>0</v>
      </c>
      <c r="P27" s="645">
        <v>0</v>
      </c>
      <c r="Q27" s="645">
        <v>0</v>
      </c>
      <c r="T27" s="327">
        <v>7</v>
      </c>
    </row>
    <row r="28" spans="1:20" ht="15" x14ac:dyDescent="0.25">
      <c r="A28" s="463">
        <v>45</v>
      </c>
      <c r="B28" s="645">
        <v>0</v>
      </c>
      <c r="C28" s="645"/>
      <c r="D28" s="645">
        <v>0</v>
      </c>
      <c r="E28" s="645">
        <v>0</v>
      </c>
      <c r="F28" s="645">
        <v>0</v>
      </c>
      <c r="G28" s="645">
        <v>1</v>
      </c>
      <c r="H28" s="645">
        <v>0</v>
      </c>
      <c r="I28" s="645">
        <v>0</v>
      </c>
      <c r="J28" s="645">
        <v>0</v>
      </c>
      <c r="K28" s="645">
        <v>0</v>
      </c>
      <c r="L28" s="645">
        <v>0</v>
      </c>
      <c r="M28" s="645">
        <v>0</v>
      </c>
      <c r="N28" s="645">
        <v>0</v>
      </c>
      <c r="O28" s="645">
        <v>0</v>
      </c>
      <c r="P28" s="645">
        <v>0</v>
      </c>
      <c r="Q28" s="645">
        <v>0</v>
      </c>
    </row>
    <row r="29" spans="1:20" ht="15" x14ac:dyDescent="0.25">
      <c r="A29" s="463">
        <v>46</v>
      </c>
      <c r="B29" s="645">
        <v>1</v>
      </c>
      <c r="C29" s="645"/>
      <c r="D29" s="645">
        <v>0</v>
      </c>
      <c r="E29" s="645">
        <v>0</v>
      </c>
      <c r="F29" s="645">
        <v>0</v>
      </c>
      <c r="G29" s="645">
        <v>1</v>
      </c>
      <c r="H29" s="645">
        <v>0</v>
      </c>
      <c r="I29" s="645">
        <v>0</v>
      </c>
      <c r="J29" s="645">
        <v>0</v>
      </c>
      <c r="K29" s="645">
        <v>0</v>
      </c>
      <c r="L29" s="645">
        <v>0</v>
      </c>
      <c r="M29" s="645">
        <v>0</v>
      </c>
      <c r="N29" s="645">
        <v>0</v>
      </c>
      <c r="O29" s="645">
        <v>0</v>
      </c>
      <c r="P29" s="645">
        <v>5</v>
      </c>
      <c r="Q29" s="645">
        <v>1</v>
      </c>
      <c r="T29" s="579">
        <v>1</v>
      </c>
    </row>
    <row r="30" spans="1:20" x14ac:dyDescent="0.2">
      <c r="S30" s="463"/>
      <c r="T30" s="463"/>
    </row>
    <row r="31" spans="1:20" ht="15" x14ac:dyDescent="0.25">
      <c r="A31" s="463">
        <v>51</v>
      </c>
      <c r="B31" s="646">
        <v>1</v>
      </c>
      <c r="C31" s="646"/>
      <c r="D31" s="646">
        <v>1</v>
      </c>
      <c r="E31" s="646">
        <v>0</v>
      </c>
      <c r="F31" s="646">
        <v>0</v>
      </c>
      <c r="G31" s="646">
        <v>1</v>
      </c>
      <c r="H31" s="646">
        <v>0</v>
      </c>
      <c r="I31" s="646">
        <v>1</v>
      </c>
      <c r="J31" s="646">
        <v>0</v>
      </c>
      <c r="K31" s="646">
        <v>0</v>
      </c>
      <c r="L31" s="646">
        <v>0</v>
      </c>
      <c r="M31" s="646">
        <v>0</v>
      </c>
      <c r="N31" s="646">
        <v>1</v>
      </c>
      <c r="O31" s="646">
        <v>0</v>
      </c>
      <c r="P31" s="646">
        <v>4</v>
      </c>
      <c r="Q31" s="646">
        <v>0</v>
      </c>
      <c r="S31" s="532">
        <v>1</v>
      </c>
      <c r="T31" s="327">
        <v>1</v>
      </c>
    </row>
    <row r="32" spans="1:20" ht="15" x14ac:dyDescent="0.25">
      <c r="A32" s="463">
        <v>52</v>
      </c>
      <c r="B32" s="646">
        <v>0</v>
      </c>
      <c r="C32" s="646"/>
      <c r="D32" s="646">
        <v>0</v>
      </c>
      <c r="E32" s="646">
        <v>0</v>
      </c>
      <c r="F32" s="646">
        <v>0</v>
      </c>
      <c r="G32" s="646">
        <v>0</v>
      </c>
      <c r="H32" s="646">
        <v>2</v>
      </c>
      <c r="I32" s="646">
        <v>0</v>
      </c>
      <c r="J32" s="646">
        <v>0</v>
      </c>
      <c r="K32" s="646">
        <v>0</v>
      </c>
      <c r="L32" s="646">
        <v>0</v>
      </c>
      <c r="M32" s="646">
        <v>0</v>
      </c>
      <c r="N32" s="646">
        <v>0</v>
      </c>
      <c r="O32" s="646">
        <v>0</v>
      </c>
      <c r="P32" s="646">
        <v>0</v>
      </c>
      <c r="Q32" s="646">
        <v>0</v>
      </c>
      <c r="T32" s="327">
        <v>2</v>
      </c>
    </row>
    <row r="33" spans="1:20" ht="15" x14ac:dyDescent="0.25">
      <c r="A33" s="463">
        <v>53</v>
      </c>
      <c r="B33" s="646">
        <v>0</v>
      </c>
      <c r="C33" s="646"/>
      <c r="D33" s="646">
        <v>0</v>
      </c>
      <c r="E33" s="646">
        <v>0</v>
      </c>
      <c r="F33" s="646">
        <v>0</v>
      </c>
      <c r="G33" s="646">
        <v>1</v>
      </c>
      <c r="H33" s="646">
        <v>0</v>
      </c>
      <c r="I33" s="646">
        <v>1</v>
      </c>
      <c r="J33" s="646">
        <v>1</v>
      </c>
      <c r="K33" s="646">
        <v>1</v>
      </c>
      <c r="L33" s="646">
        <v>0</v>
      </c>
      <c r="M33" s="646">
        <v>0</v>
      </c>
      <c r="N33" s="646">
        <v>0</v>
      </c>
      <c r="O33" s="646">
        <v>0</v>
      </c>
      <c r="P33" s="646">
        <v>1</v>
      </c>
      <c r="Q33" s="646">
        <v>0</v>
      </c>
      <c r="T33" s="327">
        <v>2</v>
      </c>
    </row>
    <row r="34" spans="1:20" ht="15" x14ac:dyDescent="0.25">
      <c r="A34" s="463">
        <v>54</v>
      </c>
      <c r="B34" s="646">
        <v>0</v>
      </c>
      <c r="C34" s="646"/>
      <c r="D34" s="646">
        <v>2</v>
      </c>
      <c r="E34" s="646">
        <v>0</v>
      </c>
      <c r="F34" s="646">
        <v>0</v>
      </c>
      <c r="G34" s="646">
        <v>1</v>
      </c>
      <c r="H34" s="646">
        <v>0</v>
      </c>
      <c r="I34" s="646">
        <v>1</v>
      </c>
      <c r="J34" s="646">
        <v>3</v>
      </c>
      <c r="K34" s="646">
        <v>0</v>
      </c>
      <c r="L34" s="646">
        <v>0</v>
      </c>
      <c r="M34" s="646">
        <v>0</v>
      </c>
      <c r="N34" s="646">
        <v>2</v>
      </c>
      <c r="O34" s="646">
        <v>1</v>
      </c>
      <c r="P34" s="646">
        <v>0</v>
      </c>
      <c r="Q34" s="646">
        <v>0</v>
      </c>
      <c r="T34" s="327">
        <v>4</v>
      </c>
    </row>
    <row r="35" spans="1:20" ht="15" x14ac:dyDescent="0.25">
      <c r="A35" s="463">
        <v>55</v>
      </c>
      <c r="B35" s="646">
        <v>0</v>
      </c>
      <c r="C35" s="646"/>
      <c r="D35" s="646">
        <v>0</v>
      </c>
      <c r="E35" s="646">
        <v>0</v>
      </c>
      <c r="F35" s="646">
        <v>0</v>
      </c>
      <c r="G35" s="646">
        <v>1</v>
      </c>
      <c r="H35" s="646">
        <v>0</v>
      </c>
      <c r="I35" s="646">
        <v>0</v>
      </c>
      <c r="J35" s="646">
        <v>0</v>
      </c>
      <c r="K35" s="646">
        <v>0</v>
      </c>
      <c r="L35" s="646">
        <v>0</v>
      </c>
      <c r="M35" s="646">
        <v>0</v>
      </c>
      <c r="N35" s="646">
        <v>7</v>
      </c>
      <c r="O35" s="646">
        <v>0</v>
      </c>
      <c r="P35" s="646">
        <v>1</v>
      </c>
      <c r="Q35" s="646">
        <v>0</v>
      </c>
      <c r="T35" s="327">
        <v>1</v>
      </c>
    </row>
    <row r="36" spans="1:20" ht="15" x14ac:dyDescent="0.25">
      <c r="A36" s="463">
        <v>56</v>
      </c>
      <c r="B36" s="646">
        <v>1</v>
      </c>
      <c r="C36" s="646"/>
      <c r="D36" s="646">
        <v>0</v>
      </c>
      <c r="E36" s="646">
        <v>0</v>
      </c>
      <c r="F36" s="646">
        <v>0</v>
      </c>
      <c r="G36" s="646">
        <v>0</v>
      </c>
      <c r="H36" s="646">
        <v>0</v>
      </c>
      <c r="I36" s="646">
        <v>0</v>
      </c>
      <c r="J36" s="646">
        <v>0</v>
      </c>
      <c r="K36" s="646">
        <v>0</v>
      </c>
      <c r="L36" s="646">
        <v>0</v>
      </c>
      <c r="M36" s="646">
        <v>0</v>
      </c>
      <c r="N36" s="646">
        <v>0</v>
      </c>
      <c r="O36" s="646">
        <v>0</v>
      </c>
      <c r="P36" s="646">
        <v>0</v>
      </c>
      <c r="Q36" s="646">
        <v>0</v>
      </c>
      <c r="T36" s="327">
        <v>2</v>
      </c>
    </row>
    <row r="37" spans="1:20" x14ac:dyDescent="0.2">
      <c r="S37" s="463"/>
      <c r="T37" s="463"/>
    </row>
    <row r="38" spans="1:20" ht="15" x14ac:dyDescent="0.25">
      <c r="A38" s="463">
        <v>61</v>
      </c>
      <c r="B38" s="647">
        <v>0</v>
      </c>
      <c r="C38" s="647"/>
      <c r="D38" s="647">
        <v>0</v>
      </c>
      <c r="E38" s="647">
        <v>0</v>
      </c>
      <c r="F38" s="647">
        <v>0</v>
      </c>
      <c r="G38" s="647">
        <v>0</v>
      </c>
      <c r="H38" s="647">
        <v>0</v>
      </c>
      <c r="I38" s="647">
        <v>0</v>
      </c>
      <c r="J38" s="647">
        <v>0</v>
      </c>
      <c r="K38" s="647">
        <v>0</v>
      </c>
      <c r="L38" s="647">
        <v>0</v>
      </c>
      <c r="M38" s="647">
        <v>0</v>
      </c>
      <c r="N38" s="647">
        <v>0</v>
      </c>
      <c r="O38" s="647">
        <v>0</v>
      </c>
      <c r="P38" s="647">
        <v>5</v>
      </c>
      <c r="Q38" s="647">
        <v>0</v>
      </c>
      <c r="T38" s="327">
        <v>1</v>
      </c>
    </row>
    <row r="39" spans="1:20" ht="15" x14ac:dyDescent="0.25">
      <c r="A39" s="463">
        <v>62</v>
      </c>
      <c r="B39" s="647">
        <v>0</v>
      </c>
      <c r="C39" s="647"/>
      <c r="D39" s="647">
        <v>0</v>
      </c>
      <c r="E39" s="647">
        <v>0</v>
      </c>
      <c r="F39" s="647">
        <v>0</v>
      </c>
      <c r="G39" s="647">
        <v>0</v>
      </c>
      <c r="H39" s="647">
        <v>1</v>
      </c>
      <c r="I39" s="647">
        <v>1</v>
      </c>
      <c r="J39" s="647">
        <v>0</v>
      </c>
      <c r="K39" s="647">
        <v>0</v>
      </c>
      <c r="L39" s="647">
        <v>0</v>
      </c>
      <c r="M39" s="647">
        <v>0</v>
      </c>
      <c r="N39" s="647">
        <v>1</v>
      </c>
      <c r="O39" s="647">
        <v>0</v>
      </c>
      <c r="P39" s="647">
        <v>0</v>
      </c>
      <c r="Q39" s="647">
        <v>0</v>
      </c>
      <c r="T39" s="327">
        <v>2</v>
      </c>
    </row>
    <row r="40" spans="1:20" x14ac:dyDescent="0.2">
      <c r="S40" s="464"/>
      <c r="T40" s="464"/>
    </row>
    <row r="41" spans="1:20" x14ac:dyDescent="0.2">
      <c r="S41" s="464"/>
      <c r="T41" s="464"/>
    </row>
    <row r="42" spans="1:20" x14ac:dyDescent="0.2">
      <c r="S42" s="464"/>
      <c r="T42" s="464"/>
    </row>
    <row r="43" spans="1:20" x14ac:dyDescent="0.2">
      <c r="S43" s="464"/>
      <c r="T43" s="464"/>
    </row>
    <row r="44" spans="1:20" x14ac:dyDescent="0.2">
      <c r="S44" s="464"/>
      <c r="T44" s="464"/>
    </row>
    <row r="45" spans="1:20" x14ac:dyDescent="0.2">
      <c r="S45" s="464"/>
      <c r="T45" s="464"/>
    </row>
    <row r="46" spans="1:20" x14ac:dyDescent="0.2">
      <c r="S46" s="464"/>
      <c r="T46" s="464"/>
    </row>
    <row r="47" spans="1:20" x14ac:dyDescent="0.2">
      <c r="S47" s="464"/>
      <c r="T47" s="464"/>
    </row>
    <row r="48" spans="1:20" x14ac:dyDescent="0.2">
      <c r="S48" s="464"/>
      <c r="T48" s="464"/>
    </row>
    <row r="49" spans="19:20" x14ac:dyDescent="0.2">
      <c r="S49" s="464"/>
      <c r="T49" s="464"/>
    </row>
    <row r="50" spans="19:20" x14ac:dyDescent="0.2">
      <c r="S50" s="464"/>
      <c r="T50" s="464"/>
    </row>
    <row r="51" spans="19:20" x14ac:dyDescent="0.2">
      <c r="S51" s="464"/>
      <c r="T51" s="464"/>
    </row>
    <row r="52" spans="19:20" x14ac:dyDescent="0.2">
      <c r="S52" s="464"/>
      <c r="T52" s="464"/>
    </row>
    <row r="53" spans="19:20" x14ac:dyDescent="0.2">
      <c r="S53" s="464"/>
      <c r="T53" s="464"/>
    </row>
    <row r="54" spans="19:20" x14ac:dyDescent="0.2">
      <c r="S54" s="464"/>
      <c r="T54" s="464"/>
    </row>
    <row r="55" spans="19:20" x14ac:dyDescent="0.2">
      <c r="S55" s="464"/>
      <c r="T55" s="464"/>
    </row>
    <row r="56" spans="19:20" x14ac:dyDescent="0.2">
      <c r="S56" s="464"/>
      <c r="T56" s="464"/>
    </row>
    <row r="57" spans="19:20" x14ac:dyDescent="0.2">
      <c r="S57" s="464"/>
      <c r="T57" s="464"/>
    </row>
    <row r="58" spans="19:20" x14ac:dyDescent="0.2">
      <c r="S58" s="464"/>
      <c r="T58" s="464"/>
    </row>
    <row r="59" spans="19:20" x14ac:dyDescent="0.2">
      <c r="S59" s="464"/>
      <c r="T59" s="464"/>
    </row>
    <row r="60" spans="19:20" x14ac:dyDescent="0.2">
      <c r="S60" s="464"/>
      <c r="T60" s="464"/>
    </row>
    <row r="61" spans="19:20" x14ac:dyDescent="0.2">
      <c r="S61" s="464"/>
      <c r="T61" s="464"/>
    </row>
    <row r="62" spans="19:20" x14ac:dyDescent="0.2">
      <c r="S62" s="464"/>
      <c r="T62" s="464"/>
    </row>
    <row r="63" spans="19:20" x14ac:dyDescent="0.2">
      <c r="S63" s="464"/>
      <c r="T63" s="464"/>
    </row>
    <row r="64" spans="19:20" x14ac:dyDescent="0.2">
      <c r="S64" s="464"/>
      <c r="T64" s="464"/>
    </row>
    <row r="65" spans="19:20" x14ac:dyDescent="0.2">
      <c r="S65" s="464"/>
      <c r="T65" s="464"/>
    </row>
    <row r="66" spans="19:20" x14ac:dyDescent="0.2">
      <c r="S66" s="464"/>
      <c r="T66" s="464"/>
    </row>
    <row r="67" spans="19:20" x14ac:dyDescent="0.2">
      <c r="S67" s="464"/>
      <c r="T67" s="464"/>
    </row>
    <row r="68" spans="19:20" x14ac:dyDescent="0.2">
      <c r="S68" s="464"/>
      <c r="T68" s="464"/>
    </row>
    <row r="69" spans="19:20" x14ac:dyDescent="0.2">
      <c r="S69" s="464"/>
      <c r="T69" s="464"/>
    </row>
    <row r="70" spans="19:20" x14ac:dyDescent="0.2">
      <c r="S70" s="464"/>
      <c r="T70" s="464"/>
    </row>
    <row r="71" spans="19:20" x14ac:dyDescent="0.2">
      <c r="S71" s="464"/>
      <c r="T71" s="464"/>
    </row>
    <row r="72" spans="19:20" x14ac:dyDescent="0.2">
      <c r="S72" s="464"/>
      <c r="T72" s="464"/>
    </row>
    <row r="73" spans="19:20" x14ac:dyDescent="0.2">
      <c r="S73" s="464"/>
      <c r="T73" s="464"/>
    </row>
    <row r="74" spans="19:20" x14ac:dyDescent="0.2">
      <c r="S74" s="464"/>
      <c r="T74" s="464"/>
    </row>
    <row r="75" spans="19:20" x14ac:dyDescent="0.2">
      <c r="S75" s="464"/>
      <c r="T75" s="464"/>
    </row>
    <row r="76" spans="19:20" x14ac:dyDescent="0.2">
      <c r="S76" s="464"/>
      <c r="T76" s="464"/>
    </row>
    <row r="77" spans="19:20" x14ac:dyDescent="0.2">
      <c r="S77" s="464"/>
      <c r="T77" s="464"/>
    </row>
    <row r="78" spans="19:20" x14ac:dyDescent="0.2">
      <c r="S78" s="464"/>
      <c r="T78" s="464"/>
    </row>
    <row r="79" spans="19:20" x14ac:dyDescent="0.2">
      <c r="S79" s="464"/>
      <c r="T79" s="464"/>
    </row>
    <row r="80" spans="19:20" x14ac:dyDescent="0.2">
      <c r="S80" s="464"/>
      <c r="T80" s="464"/>
    </row>
    <row r="81" spans="19:20" x14ac:dyDescent="0.2">
      <c r="S81" s="464"/>
      <c r="T81" s="464"/>
    </row>
    <row r="82" spans="19:20" x14ac:dyDescent="0.2">
      <c r="S82" s="464"/>
      <c r="T82" s="464"/>
    </row>
    <row r="83" spans="19:20" x14ac:dyDescent="0.2">
      <c r="S83" s="464"/>
      <c r="T83" s="464"/>
    </row>
    <row r="84" spans="19:20" x14ac:dyDescent="0.2">
      <c r="S84" s="464"/>
      <c r="T84" s="464"/>
    </row>
    <row r="85" spans="19:20" x14ac:dyDescent="0.2">
      <c r="S85" s="464"/>
      <c r="T85" s="464"/>
    </row>
    <row r="86" spans="19:20" x14ac:dyDescent="0.2">
      <c r="S86" s="464"/>
      <c r="T86" s="464"/>
    </row>
    <row r="87" spans="19:20" x14ac:dyDescent="0.2">
      <c r="S87" s="464"/>
      <c r="T87" s="464"/>
    </row>
    <row r="88" spans="19:20" x14ac:dyDescent="0.2">
      <c r="S88" s="464"/>
      <c r="T88" s="464"/>
    </row>
    <row r="89" spans="19:20" x14ac:dyDescent="0.2">
      <c r="S89" s="464"/>
      <c r="T89" s="464"/>
    </row>
    <row r="90" spans="19:20" x14ac:dyDescent="0.2">
      <c r="S90" s="464"/>
      <c r="T90" s="464"/>
    </row>
    <row r="91" spans="19:20" x14ac:dyDescent="0.2">
      <c r="S91" s="464"/>
      <c r="T91" s="464"/>
    </row>
    <row r="92" spans="19:20" x14ac:dyDescent="0.2">
      <c r="S92" s="464"/>
      <c r="T92" s="464"/>
    </row>
    <row r="93" spans="19:20" x14ac:dyDescent="0.2">
      <c r="S93" s="464"/>
      <c r="T93" s="464"/>
    </row>
    <row r="94" spans="19:20" x14ac:dyDescent="0.2">
      <c r="S94" s="464"/>
      <c r="T94" s="464"/>
    </row>
    <row r="95" spans="19:20" x14ac:dyDescent="0.2">
      <c r="S95" s="464"/>
      <c r="T95" s="464"/>
    </row>
    <row r="96" spans="19:20" x14ac:dyDescent="0.2">
      <c r="S96" s="464"/>
      <c r="T96" s="464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Data'!F48</f>
        <v>0</v>
      </c>
      <c r="I11" s="403">
        <f>'YTD 2017'!F14</f>
        <v>0</v>
      </c>
      <c r="J11" s="401">
        <f>'YTD 2016'!F14</f>
        <v>0</v>
      </c>
      <c r="K11" s="401">
        <f>'YTD 2015'!F14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Data'!M48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Rapes'!E17</f>
        <v>0</v>
      </c>
      <c r="D13" s="556">
        <f>'New Rapes'!D17</f>
        <v>0</v>
      </c>
      <c r="E13" s="555">
        <f>'New Rapes'!C17</f>
        <v>0</v>
      </c>
      <c r="F13" s="555">
        <f>'New Rapes'!B17</f>
        <v>0</v>
      </c>
      <c r="G13" s="452">
        <f t="shared" ref="G13" si="3">SUM(C13:F13)</f>
        <v>0</v>
      </c>
      <c r="H13" s="576">
        <v>0.23013698630136983</v>
      </c>
      <c r="I13" s="557">
        <f>'New Rapes'!G17</f>
        <v>0</v>
      </c>
      <c r="J13" s="556">
        <f>'New Rapes'!H17</f>
        <v>2</v>
      </c>
      <c r="K13" s="556">
        <f>'New Rapes'!I17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ago'!D14</f>
        <v>0</v>
      </c>
      <c r="D14" s="401">
        <f>'3 weeks ago'!D14</f>
        <v>0</v>
      </c>
      <c r="E14" s="402">
        <f>'Previous Week'!D14</f>
        <v>0</v>
      </c>
      <c r="F14" s="402">
        <f>'Last Week'!D14</f>
        <v>0</v>
      </c>
      <c r="G14" s="452">
        <f t="shared" si="2"/>
        <v>0</v>
      </c>
      <c r="H14" s="491">
        <f>'2016 Data'!D48</f>
        <v>7.650273224043716E-2</v>
      </c>
      <c r="I14" s="403">
        <f>'YTD 2017'!D14</f>
        <v>0</v>
      </c>
      <c r="J14" s="401">
        <f>'YTD 2016'!D14</f>
        <v>1</v>
      </c>
      <c r="K14" s="401">
        <f>'YTD 2015'!D14</f>
        <v>2</v>
      </c>
      <c r="L14" s="404">
        <f t="shared" si="0"/>
        <v>-1</v>
      </c>
      <c r="M14" s="407">
        <f t="shared" si="1"/>
        <v>-2</v>
      </c>
      <c r="N14" s="380"/>
    </row>
    <row r="15" spans="1:14" x14ac:dyDescent="0.25">
      <c r="A15" s="375"/>
      <c r="B15" s="406" t="s">
        <v>30</v>
      </c>
      <c r="C15" s="401">
        <f>'4 weeks ago'!Q14</f>
        <v>0</v>
      </c>
      <c r="D15" s="401">
        <f>'3 weeks ago'!Q14</f>
        <v>1</v>
      </c>
      <c r="E15" s="402">
        <f>'Previous Week'!Q14</f>
        <v>0</v>
      </c>
      <c r="F15" s="402">
        <f>'Last Week'!Q14</f>
        <v>0</v>
      </c>
      <c r="G15" s="452">
        <f t="shared" si="2"/>
        <v>1</v>
      </c>
      <c r="H15" s="491">
        <f>'2016 Data'!Q48</f>
        <v>2.4480874316939891</v>
      </c>
      <c r="I15" s="403">
        <f>'YTD 2017'!Q14</f>
        <v>7</v>
      </c>
      <c r="J15" s="401">
        <f>'YTD 2016'!Q14</f>
        <v>13</v>
      </c>
      <c r="K15" s="401">
        <f>'YTD 2015'!Q14</f>
        <v>3</v>
      </c>
      <c r="L15" s="404">
        <f t="shared" si="0"/>
        <v>-6</v>
      </c>
      <c r="M15" s="407">
        <f t="shared" si="1"/>
        <v>4</v>
      </c>
      <c r="N15" s="380"/>
    </row>
    <row r="16" spans="1:14" x14ac:dyDescent="0.25">
      <c r="A16" s="375"/>
      <c r="B16" s="406" t="s">
        <v>31</v>
      </c>
      <c r="C16" s="401">
        <f>'4 weeks ago'!O14</f>
        <v>0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0</v>
      </c>
      <c r="H16" s="491">
        <f>'2016 Data'!O48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ago'!E14</f>
        <v>0</v>
      </c>
      <c r="D17" s="401">
        <f>'3 weeks ago'!E14</f>
        <v>0</v>
      </c>
      <c r="E17" s="402">
        <f>'Previous Week'!E14</f>
        <v>1</v>
      </c>
      <c r="F17" s="402">
        <f>'Last Week'!E14</f>
        <v>1</v>
      </c>
      <c r="G17" s="452">
        <f t="shared" si="2"/>
        <v>2</v>
      </c>
      <c r="H17" s="491">
        <f>'2016 Data'!E48</f>
        <v>0.91803278688524592</v>
      </c>
      <c r="I17" s="403">
        <f>'YTD 2017'!E14</f>
        <v>3</v>
      </c>
      <c r="J17" s="401">
        <f>'YTD 2016'!E14</f>
        <v>4</v>
      </c>
      <c r="K17" s="401">
        <f>'YTD 2015'!E14</f>
        <v>7</v>
      </c>
      <c r="L17" s="404">
        <f t="shared" si="0"/>
        <v>-1</v>
      </c>
      <c r="M17" s="407">
        <f t="shared" si="1"/>
        <v>-4</v>
      </c>
      <c r="N17" s="380"/>
    </row>
    <row r="18" spans="1:14" x14ac:dyDescent="0.25">
      <c r="A18" s="375"/>
      <c r="B18" s="406" t="s">
        <v>41</v>
      </c>
      <c r="C18" s="401">
        <f>'4 weeks ago'!J14</f>
        <v>0</v>
      </c>
      <c r="D18" s="401">
        <f>'3 weeks ago'!J14</f>
        <v>0</v>
      </c>
      <c r="E18" s="402">
        <f>'Previous Week'!J14</f>
        <v>0</v>
      </c>
      <c r="F18" s="402">
        <f>'Last Week'!J14</f>
        <v>0</v>
      </c>
      <c r="G18" s="452">
        <f t="shared" si="2"/>
        <v>0</v>
      </c>
      <c r="H18" s="491">
        <f>'2016 Data'!J48</f>
        <v>0.76502732240437155</v>
      </c>
      <c r="I18" s="403">
        <f>'YTD 2017'!J14</f>
        <v>3</v>
      </c>
      <c r="J18" s="401">
        <f>'YTD 2016'!J14</f>
        <v>2</v>
      </c>
      <c r="K18" s="401">
        <f>'YTD 2015'!J14</f>
        <v>1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4.5142899917658514</v>
      </c>
      <c r="I19" s="411">
        <f t="shared" si="4"/>
        <v>13</v>
      </c>
      <c r="J19" s="409">
        <f t="shared" si="4"/>
        <v>23</v>
      </c>
      <c r="K19" s="409">
        <f t="shared" si="4"/>
        <v>14</v>
      </c>
      <c r="L19" s="412">
        <f>(I19-J19)/J19</f>
        <v>-0.43478260869565216</v>
      </c>
      <c r="M19" s="413">
        <f>(I19-K19)/K19</f>
        <v>-7.1428571428571425E-2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ago'!C14</f>
        <v>1</v>
      </c>
      <c r="D21" s="401">
        <f>'3 weeks ago'!C14</f>
        <v>0</v>
      </c>
      <c r="E21" s="402">
        <f>'Previous Week'!C14</f>
        <v>0</v>
      </c>
      <c r="F21" s="402">
        <f>'Last Week'!C14</f>
        <v>0</v>
      </c>
      <c r="G21" s="452">
        <f t="shared" ref="G21:G29" si="5">SUM(C21:F21)</f>
        <v>1</v>
      </c>
      <c r="H21" s="491">
        <f>'2016 Data'!C48</f>
        <v>1.6065573770491803</v>
      </c>
      <c r="I21" s="416">
        <f>'YTD 2017'!C14</f>
        <v>2</v>
      </c>
      <c r="J21" s="401">
        <f>'YTD 2016'!C14</f>
        <v>7</v>
      </c>
      <c r="K21" s="401">
        <f>'YTD 2015'!C14</f>
        <v>1</v>
      </c>
      <c r="L21" s="404">
        <f t="shared" ref="L21:L29" si="6">I21-J21</f>
        <v>-5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ago'!N14</f>
        <v>0</v>
      </c>
      <c r="D22" s="401">
        <f>'3 weeks ago'!N14</f>
        <v>0</v>
      </c>
      <c r="E22" s="402">
        <f>'Previous Week'!N14</f>
        <v>0</v>
      </c>
      <c r="F22" s="402">
        <f>'Last Week'!N14</f>
        <v>0</v>
      </c>
      <c r="G22" s="452">
        <f t="shared" si="5"/>
        <v>0</v>
      </c>
      <c r="H22" s="491">
        <f>'2016 Data'!N48</f>
        <v>1.6830601092896174</v>
      </c>
      <c r="I22" s="418">
        <f>'YTD 2017'!N14</f>
        <v>2</v>
      </c>
      <c r="J22" s="401">
        <f>'YTD 2016'!N14</f>
        <v>9</v>
      </c>
      <c r="K22" s="401">
        <f>'YTD 2015'!N14</f>
        <v>3</v>
      </c>
      <c r="L22" s="404">
        <f t="shared" si="6"/>
        <v>-7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ago'!L14</f>
        <v>0</v>
      </c>
      <c r="D23" s="401">
        <f>'3 weeks ago'!L14</f>
        <v>1</v>
      </c>
      <c r="E23" s="402">
        <f>'Previous Week'!L14</f>
        <v>0</v>
      </c>
      <c r="F23" s="402">
        <f>'Last Week'!L14</f>
        <v>0</v>
      </c>
      <c r="G23" s="452">
        <f t="shared" si="5"/>
        <v>1</v>
      </c>
      <c r="H23" s="491">
        <f>'2016 Data'!L48</f>
        <v>0.15300546448087432</v>
      </c>
      <c r="I23" s="418">
        <f>'YTD 2017'!L14</f>
        <v>1</v>
      </c>
      <c r="J23" s="401">
        <f>'YTD 2016'!L14</f>
        <v>1</v>
      </c>
      <c r="K23" s="401">
        <f>'YTD 2015'!L14</f>
        <v>0</v>
      </c>
      <c r="L23" s="404">
        <f t="shared" si="6"/>
        <v>0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ago'!P14</f>
        <v>2</v>
      </c>
      <c r="D24" s="401">
        <f>'3 weeks ago'!P14</f>
        <v>3</v>
      </c>
      <c r="E24" s="402">
        <f>'Previous Week'!P14</f>
        <v>0</v>
      </c>
      <c r="F24" s="402">
        <f>'Last Week'!P14</f>
        <v>0</v>
      </c>
      <c r="G24" s="452">
        <f t="shared" si="5"/>
        <v>5</v>
      </c>
      <c r="H24" s="491">
        <f>'2016 Data'!P48</f>
        <v>3.9781420765027322</v>
      </c>
      <c r="I24" s="418">
        <f>'YTD 2017'!P14</f>
        <v>21</v>
      </c>
      <c r="J24" s="401">
        <f>'YTD 2016'!P14</f>
        <v>5</v>
      </c>
      <c r="K24" s="401">
        <f>'YTD 2015'!P14</f>
        <v>7</v>
      </c>
      <c r="L24" s="404">
        <f t="shared" si="6"/>
        <v>16</v>
      </c>
      <c r="M24" s="407">
        <f t="shared" si="7"/>
        <v>14</v>
      </c>
      <c r="N24" s="380"/>
    </row>
    <row r="25" spans="1:14" x14ac:dyDescent="0.25">
      <c r="A25" s="375"/>
      <c r="B25" s="406" t="s">
        <v>7</v>
      </c>
      <c r="C25" s="401">
        <f>'4 weeks ago'!G14</f>
        <v>0</v>
      </c>
      <c r="D25" s="401">
        <f>'3 weeks ago'!G14</f>
        <v>3</v>
      </c>
      <c r="E25" s="402">
        <f>'Previous Week'!G14</f>
        <v>0</v>
      </c>
      <c r="F25" s="402">
        <f>'Last Week'!G14</f>
        <v>2</v>
      </c>
      <c r="G25" s="452">
        <f t="shared" si="5"/>
        <v>5</v>
      </c>
      <c r="H25" s="491">
        <f>'2016 Data'!G48</f>
        <v>9.4863387978142075</v>
      </c>
      <c r="I25" s="418">
        <f>'YTD 2017'!G14</f>
        <v>27</v>
      </c>
      <c r="J25" s="401">
        <f>'YTD 2016'!G14</f>
        <v>41</v>
      </c>
      <c r="K25" s="401">
        <f>'YTD 2015'!G14</f>
        <v>18</v>
      </c>
      <c r="L25" s="404">
        <f t="shared" si="6"/>
        <v>-14</v>
      </c>
      <c r="M25" s="407">
        <f t="shared" si="7"/>
        <v>9</v>
      </c>
      <c r="N25" s="380"/>
    </row>
    <row r="26" spans="1:14" x14ac:dyDescent="0.25">
      <c r="A26" s="375"/>
      <c r="B26" s="406" t="s">
        <v>68</v>
      </c>
      <c r="C26" s="401">
        <f>'4 weeks ago'!I14</f>
        <v>1</v>
      </c>
      <c r="D26" s="401">
        <f>'3 weeks ago'!I14</f>
        <v>0</v>
      </c>
      <c r="E26" s="402">
        <f>'Previous Week'!I14</f>
        <v>0</v>
      </c>
      <c r="F26" s="402">
        <f>'Last Week'!I14</f>
        <v>0</v>
      </c>
      <c r="G26" s="452">
        <f t="shared" si="5"/>
        <v>1</v>
      </c>
      <c r="H26" s="491">
        <f>'2016 Data'!I48</f>
        <v>2.2950819672131146</v>
      </c>
      <c r="I26" s="418">
        <f>'YTD 2017'!I14</f>
        <v>14</v>
      </c>
      <c r="J26" s="401">
        <f>'YTD 2016'!I14</f>
        <v>11</v>
      </c>
      <c r="K26" s="401">
        <f>'YTD 2015'!I14</f>
        <v>7</v>
      </c>
      <c r="L26" s="404">
        <f t="shared" si="6"/>
        <v>3</v>
      </c>
      <c r="M26" s="407">
        <f t="shared" si="7"/>
        <v>7</v>
      </c>
      <c r="N26" s="380"/>
    </row>
    <row r="27" spans="1:14" x14ac:dyDescent="0.25">
      <c r="A27" s="375"/>
      <c r="B27" s="406" t="s">
        <v>67</v>
      </c>
      <c r="C27" s="401">
        <f>'4 weeks ago'!H14</f>
        <v>0</v>
      </c>
      <c r="D27" s="401">
        <f>'3 weeks ago'!H14</f>
        <v>0</v>
      </c>
      <c r="E27" s="402">
        <f>'Previous Week'!H14</f>
        <v>2</v>
      </c>
      <c r="F27" s="402">
        <f>'Last Week'!H14</f>
        <v>1</v>
      </c>
      <c r="G27" s="452">
        <f t="shared" si="5"/>
        <v>3</v>
      </c>
      <c r="H27" s="491">
        <f>'2016 Data'!H48</f>
        <v>2.2950819672131146</v>
      </c>
      <c r="I27" s="418">
        <f>'YTD 2017'!H14</f>
        <v>12</v>
      </c>
      <c r="J27" s="401">
        <f>'YTD 2016'!H14</f>
        <v>8</v>
      </c>
      <c r="K27" s="401">
        <f>'YTD 2015'!H14</f>
        <v>11</v>
      </c>
      <c r="L27" s="404">
        <f>I27-J27</f>
        <v>4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Data'!K48</f>
        <v>0.30601092896174864</v>
      </c>
      <c r="I28" s="418">
        <f>'YTD 2017'!K14</f>
        <v>0</v>
      </c>
      <c r="J28" s="401">
        <f>'YTD 2016'!K14</f>
        <v>3</v>
      </c>
      <c r="K28" s="401">
        <f>'YTD 2015'!K14</f>
        <v>1</v>
      </c>
      <c r="L28" s="404">
        <f t="shared" si="6"/>
        <v>-3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ago'!B14</f>
        <v>1</v>
      </c>
      <c r="D29" s="401">
        <f>'3 weeks ago'!B14</f>
        <v>1</v>
      </c>
      <c r="E29" s="402">
        <f>'Previous Week'!B14</f>
        <v>0</v>
      </c>
      <c r="F29" s="402">
        <f>'Last Week'!B14</f>
        <v>0</v>
      </c>
      <c r="G29" s="452">
        <f t="shared" si="5"/>
        <v>2</v>
      </c>
      <c r="H29" s="491">
        <f>'2016 Data'!B48</f>
        <v>3.2131147540983607</v>
      </c>
      <c r="I29" s="418">
        <f>'YTD 2017'!B14</f>
        <v>14</v>
      </c>
      <c r="J29" s="401">
        <f>'YTD 2016'!B14</f>
        <v>16</v>
      </c>
      <c r="K29" s="401">
        <f>'YTD 2015'!B14</f>
        <v>9</v>
      </c>
      <c r="L29" s="404">
        <f t="shared" si="6"/>
        <v>-2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8</v>
      </c>
      <c r="E30" s="420">
        <f t="shared" si="8"/>
        <v>2</v>
      </c>
      <c r="F30" s="421">
        <f t="shared" si="8"/>
        <v>3</v>
      </c>
      <c r="G30" s="455">
        <f t="shared" si="8"/>
        <v>18</v>
      </c>
      <c r="H30" s="494">
        <f t="shared" si="8"/>
        <v>25.016393442622949</v>
      </c>
      <c r="I30" s="422">
        <f t="shared" si="8"/>
        <v>93</v>
      </c>
      <c r="J30" s="420">
        <f t="shared" si="8"/>
        <v>101</v>
      </c>
      <c r="K30" s="420">
        <f t="shared" si="8"/>
        <v>57</v>
      </c>
      <c r="L30" s="412">
        <f>(I30-J30)/J30</f>
        <v>-7.9207920792079209E-2</v>
      </c>
      <c r="M30" s="413">
        <f>(I30-K30)/K30</f>
        <v>0.63157894736842102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9</v>
      </c>
      <c r="E31" s="409">
        <f t="shared" si="9"/>
        <v>3</v>
      </c>
      <c r="F31" s="410">
        <f t="shared" si="9"/>
        <v>4</v>
      </c>
      <c r="G31" s="453">
        <f t="shared" si="9"/>
        <v>21</v>
      </c>
      <c r="H31" s="492">
        <f t="shared" si="9"/>
        <v>29.530683434388799</v>
      </c>
      <c r="I31" s="411">
        <f t="shared" si="9"/>
        <v>106</v>
      </c>
      <c r="J31" s="409">
        <f t="shared" si="9"/>
        <v>124</v>
      </c>
      <c r="K31" s="409">
        <f t="shared" si="9"/>
        <v>71</v>
      </c>
      <c r="L31" s="412">
        <f>(I31-J31)/J31</f>
        <v>-0.14516129032258066</v>
      </c>
      <c r="M31" s="413">
        <f>(I31-K31)/K31</f>
        <v>0.49295774647887325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ago'!S14</f>
        <v>0</v>
      </c>
      <c r="D41" s="441">
        <f>'3 weeks ago'!S14</f>
        <v>1</v>
      </c>
      <c r="E41" s="441">
        <f>'Previous Week'!S14</f>
        <v>6</v>
      </c>
      <c r="F41" s="442">
        <f>'Last Week'!S14</f>
        <v>4</v>
      </c>
      <c r="G41" s="452">
        <f t="shared" ref="G41:G42" si="10">SUM(C41:F41)</f>
        <v>11</v>
      </c>
      <c r="H41" s="501">
        <f>'2016 Data'!R48</f>
        <v>6.2904109589041095</v>
      </c>
      <c r="I41" s="443">
        <f>'YTD 2017'!S14</f>
        <v>22</v>
      </c>
      <c r="J41" s="441">
        <f>'YTD 2016'!S14</f>
        <v>30</v>
      </c>
      <c r="K41" s="441">
        <f>'YTD 2015'!S14</f>
        <v>17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ago'!T14</f>
        <v>1</v>
      </c>
      <c r="D42" s="447">
        <f>'3 weeks ago'!T14</f>
        <v>0</v>
      </c>
      <c r="E42" s="446">
        <f>'Previous Week'!T14</f>
        <v>2</v>
      </c>
      <c r="F42" s="460">
        <f>'Last Week'!T14</f>
        <v>1</v>
      </c>
      <c r="G42" s="452">
        <f t="shared" si="10"/>
        <v>4</v>
      </c>
      <c r="H42" s="502">
        <f>'2016 Data'!S48</f>
        <v>6.4438356164383563</v>
      </c>
      <c r="I42" s="448">
        <f>'YTD 2017'!T14</f>
        <v>20</v>
      </c>
      <c r="J42" s="482">
        <f>'YTD 2016'!T14</f>
        <v>39</v>
      </c>
      <c r="K42" s="446">
        <f>'YTD 2015'!T14</f>
        <v>22</v>
      </c>
      <c r="L42" s="412">
        <f>(I42-J42)/J42</f>
        <v>-0.48717948717948717</v>
      </c>
      <c r="M42" s="413">
        <f>(I42-K42)/K42</f>
        <v>-9.0909090909090912E-2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7" priority="1" stopIfTrue="1" operator="greaterThan">
      <formula>0</formula>
    </cfRule>
  </conditionalFormatting>
  <conditionalFormatting sqref="L32:M32">
    <cfRule type="cellIs" dxfId="7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Data'!F49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Data'!M49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Rapes'!E18</f>
        <v>0</v>
      </c>
      <c r="D13" s="556">
        <f>'New Rapes'!D18</f>
        <v>0</v>
      </c>
      <c r="E13" s="555">
        <f>'New Rapes'!C18</f>
        <v>0</v>
      </c>
      <c r="F13" s="555">
        <f>'New Rapes'!B18</f>
        <v>0</v>
      </c>
      <c r="G13" s="452">
        <f t="shared" ref="G13" si="3">SUM(C13:F13)</f>
        <v>0</v>
      </c>
      <c r="H13" s="576">
        <v>0.46027397260273967</v>
      </c>
      <c r="I13" s="557">
        <f>'New Rapes'!G18</f>
        <v>1</v>
      </c>
      <c r="J13" s="556">
        <f>'New Rapes'!H18</f>
        <v>1</v>
      </c>
      <c r="K13" s="556">
        <f>'New Rapes'!I18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Data'!D49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ago'!Q15</f>
        <v>0</v>
      </c>
      <c r="D15" s="401">
        <f>'3 weeks ago'!Q15</f>
        <v>0</v>
      </c>
      <c r="E15" s="402">
        <f>'Previous Week'!Q15</f>
        <v>1</v>
      </c>
      <c r="F15" s="402">
        <f>'Last Week'!Q15</f>
        <v>0</v>
      </c>
      <c r="G15" s="452">
        <f t="shared" si="2"/>
        <v>1</v>
      </c>
      <c r="H15" s="491">
        <f>'2016 Data'!Q49</f>
        <v>1.6830601092896174</v>
      </c>
      <c r="I15" s="403">
        <f>'YTD 2017'!Q15</f>
        <v>8</v>
      </c>
      <c r="J15" s="401">
        <f>'YTD 2016'!Q15</f>
        <v>13</v>
      </c>
      <c r="K15" s="401">
        <f>'YTD 2015'!Q15</f>
        <v>5</v>
      </c>
      <c r="L15" s="404">
        <f t="shared" si="0"/>
        <v>-5</v>
      </c>
      <c r="M15" s="407">
        <f t="shared" si="1"/>
        <v>3</v>
      </c>
      <c r="N15" s="380"/>
    </row>
    <row r="16" spans="1:14" x14ac:dyDescent="0.25">
      <c r="A16" s="375"/>
      <c r="B16" s="406" t="s">
        <v>31</v>
      </c>
      <c r="C16" s="401">
        <f>'4 weeks ago'!O15</f>
        <v>0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0</v>
      </c>
      <c r="H16" s="491">
        <f>'2016 Data'!O49</f>
        <v>7.650273224043716E-2</v>
      </c>
      <c r="I16" s="403">
        <f>'YTD 2017'!O15</f>
        <v>1</v>
      </c>
      <c r="J16" s="401">
        <f>'YTD 2016'!O15</f>
        <v>0</v>
      </c>
      <c r="K16" s="401">
        <f>'YTD 2015'!O15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ago'!E15</f>
        <v>1</v>
      </c>
      <c r="D17" s="401">
        <f>'3 weeks ago'!E15</f>
        <v>0</v>
      </c>
      <c r="E17" s="402">
        <f>'Previous Week'!E15</f>
        <v>0</v>
      </c>
      <c r="F17" s="402">
        <f>'Last Week'!E15</f>
        <v>0</v>
      </c>
      <c r="G17" s="452">
        <f t="shared" si="2"/>
        <v>1</v>
      </c>
      <c r="H17" s="491">
        <f>'2016 Data'!E49</f>
        <v>2.2950819672131146</v>
      </c>
      <c r="I17" s="403">
        <f>'YTD 2017'!E15</f>
        <v>3</v>
      </c>
      <c r="J17" s="401">
        <f>'YTD 2016'!E15</f>
        <v>17</v>
      </c>
      <c r="K17" s="401">
        <f>'YTD 2015'!E15</f>
        <v>1</v>
      </c>
      <c r="L17" s="404">
        <f t="shared" si="0"/>
        <v>-14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ago'!J15</f>
        <v>1</v>
      </c>
      <c r="D18" s="401">
        <f>'3 weeks ago'!J15</f>
        <v>1</v>
      </c>
      <c r="E18" s="402">
        <f>'Previous Week'!J15</f>
        <v>0</v>
      </c>
      <c r="F18" s="402">
        <f>'Last Week'!J15</f>
        <v>0</v>
      </c>
      <c r="G18" s="452">
        <f t="shared" si="2"/>
        <v>2</v>
      </c>
      <c r="H18" s="491">
        <f>'2016 Data'!J49</f>
        <v>1.1475409836065573</v>
      </c>
      <c r="I18" s="403">
        <f>'YTD 2017'!J15</f>
        <v>8</v>
      </c>
      <c r="J18" s="401">
        <f>'YTD 2016'!J15</f>
        <v>1</v>
      </c>
      <c r="K18" s="401">
        <f>'YTD 2015'!J15</f>
        <v>3</v>
      </c>
      <c r="L18" s="404">
        <f t="shared" si="0"/>
        <v>7</v>
      </c>
      <c r="M18" s="407">
        <f t="shared" si="1"/>
        <v>5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4</v>
      </c>
      <c r="H19" s="492">
        <f t="shared" si="4"/>
        <v>5.8919679616737781</v>
      </c>
      <c r="I19" s="411">
        <f t="shared" si="4"/>
        <v>22</v>
      </c>
      <c r="J19" s="409">
        <f t="shared" si="4"/>
        <v>33</v>
      </c>
      <c r="K19" s="409">
        <f t="shared" si="4"/>
        <v>10</v>
      </c>
      <c r="L19" s="412">
        <f>(I19-J19)/J19</f>
        <v>-0.33333333333333331</v>
      </c>
      <c r="M19" s="413">
        <f>(I19-K19)/K19</f>
        <v>1.2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0</v>
      </c>
      <c r="F21" s="402">
        <f>'Last Week'!C15</f>
        <v>0</v>
      </c>
      <c r="G21" s="452">
        <f t="shared" ref="G21:G29" si="5">SUM(C21:F21)</f>
        <v>0</v>
      </c>
      <c r="H21" s="491">
        <f>'2016 Data'!C49</f>
        <v>1.3005464480874318</v>
      </c>
      <c r="I21" s="416">
        <f>'YTD 2017'!C15</f>
        <v>2</v>
      </c>
      <c r="J21" s="401">
        <f>'YTD 2016'!C15</f>
        <v>4</v>
      </c>
      <c r="K21" s="401">
        <f>'YTD 2015'!C15</f>
        <v>0</v>
      </c>
      <c r="L21" s="404">
        <f t="shared" ref="L21:L29" si="6">I21-J21</f>
        <v>-2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ago'!N15</f>
        <v>0</v>
      </c>
      <c r="D22" s="401">
        <f>'3 weeks ago'!N15</f>
        <v>1</v>
      </c>
      <c r="E22" s="402">
        <f>'Previous Week'!N15</f>
        <v>0</v>
      </c>
      <c r="F22" s="402">
        <f>'Last Week'!N15</f>
        <v>2</v>
      </c>
      <c r="G22" s="452">
        <f t="shared" si="5"/>
        <v>3</v>
      </c>
      <c r="H22" s="491">
        <f>'2016 Data'!N49</f>
        <v>4.1311475409836067</v>
      </c>
      <c r="I22" s="418">
        <f>'YTD 2017'!N15</f>
        <v>11</v>
      </c>
      <c r="J22" s="401">
        <f>'YTD 2016'!N15</f>
        <v>17</v>
      </c>
      <c r="K22" s="401">
        <f>'YTD 2015'!N15</f>
        <v>12</v>
      </c>
      <c r="L22" s="404">
        <f t="shared" si="6"/>
        <v>-6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Data'!L49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ago'!P15</f>
        <v>0</v>
      </c>
      <c r="D24" s="401">
        <f>'3 weeks ago'!P15</f>
        <v>1</v>
      </c>
      <c r="E24" s="402">
        <f>'Previous Week'!P15</f>
        <v>0</v>
      </c>
      <c r="F24" s="402">
        <f>'Last Week'!P15</f>
        <v>0</v>
      </c>
      <c r="G24" s="403">
        <f t="shared" si="5"/>
        <v>1</v>
      </c>
      <c r="H24" s="491">
        <f>'2016 Data'!P49</f>
        <v>2.4480874316939891</v>
      </c>
      <c r="I24" s="418">
        <f>'YTD 2017'!P15</f>
        <v>6</v>
      </c>
      <c r="J24" s="401">
        <f>'YTD 2016'!P15</f>
        <v>10</v>
      </c>
      <c r="K24" s="401">
        <f>'YTD 2015'!P15</f>
        <v>5</v>
      </c>
      <c r="L24" s="404">
        <f t="shared" si="6"/>
        <v>-4</v>
      </c>
      <c r="M24" s="407">
        <f t="shared" si="7"/>
        <v>1</v>
      </c>
      <c r="N24" s="380"/>
    </row>
    <row r="25" spans="1:14" x14ac:dyDescent="0.25">
      <c r="A25" s="375"/>
      <c r="B25" s="406" t="s">
        <v>7</v>
      </c>
      <c r="C25" s="401">
        <f>'4 weeks ago'!G15</f>
        <v>0</v>
      </c>
      <c r="D25" s="401">
        <f>'3 weeks ago'!G15</f>
        <v>1</v>
      </c>
      <c r="E25" s="402">
        <f>'Previous Week'!G15</f>
        <v>1</v>
      </c>
      <c r="F25" s="402">
        <f>'Last Week'!G15</f>
        <v>0</v>
      </c>
      <c r="G25" s="403">
        <f t="shared" si="5"/>
        <v>2</v>
      </c>
      <c r="H25" s="491">
        <f>'2016 Data'!G49</f>
        <v>4.5901639344262293</v>
      </c>
      <c r="I25" s="418">
        <f>'YTD 2017'!G15</f>
        <v>27</v>
      </c>
      <c r="J25" s="401">
        <f>'YTD 2016'!G15</f>
        <v>9</v>
      </c>
      <c r="K25" s="401">
        <f>'YTD 2015'!G15</f>
        <v>11</v>
      </c>
      <c r="L25" s="404">
        <f t="shared" si="6"/>
        <v>18</v>
      </c>
      <c r="M25" s="407">
        <f t="shared" si="7"/>
        <v>16</v>
      </c>
      <c r="N25" s="380"/>
    </row>
    <row r="26" spans="1:14" x14ac:dyDescent="0.25">
      <c r="A26" s="375"/>
      <c r="B26" s="406" t="s">
        <v>68</v>
      </c>
      <c r="C26" s="401">
        <f>'4 weeks ago'!I15</f>
        <v>0</v>
      </c>
      <c r="D26" s="401">
        <f>'3 weeks ago'!I15</f>
        <v>1</v>
      </c>
      <c r="E26" s="402">
        <f>'Previous Week'!I15</f>
        <v>1</v>
      </c>
      <c r="F26" s="402">
        <f>'Last Week'!I15</f>
        <v>1</v>
      </c>
      <c r="G26" s="452">
        <f t="shared" si="5"/>
        <v>3</v>
      </c>
      <c r="H26" s="491">
        <f>'2016 Data'!I49</f>
        <v>1.6830601092896174</v>
      </c>
      <c r="I26" s="418">
        <f>'YTD 2017'!I15</f>
        <v>8</v>
      </c>
      <c r="J26" s="401">
        <f>'YTD 2016'!I15</f>
        <v>7</v>
      </c>
      <c r="K26" s="401">
        <f>'YTD 2015'!I15</f>
        <v>8</v>
      </c>
      <c r="L26" s="404">
        <f t="shared" si="6"/>
        <v>1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ago'!H15</f>
        <v>0</v>
      </c>
      <c r="D27" s="401">
        <f>'3 weeks ago'!H15</f>
        <v>1</v>
      </c>
      <c r="E27" s="402">
        <f>'Previous Week'!H15</f>
        <v>0</v>
      </c>
      <c r="F27" s="402">
        <f>'Last Week'!H15</f>
        <v>0</v>
      </c>
      <c r="G27" s="452">
        <f t="shared" si="5"/>
        <v>1</v>
      </c>
      <c r="H27" s="491">
        <f>'2016 Data'!H49</f>
        <v>1.9125683060109291</v>
      </c>
      <c r="I27" s="418">
        <f>'YTD 2017'!H15</f>
        <v>6</v>
      </c>
      <c r="J27" s="401">
        <f>'YTD 2016'!H15</f>
        <v>12</v>
      </c>
      <c r="K27" s="401">
        <f>'YTD 2015'!H15</f>
        <v>7</v>
      </c>
      <c r="L27" s="404">
        <f>I27-J27</f>
        <v>-6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ago'!K15</f>
        <v>0</v>
      </c>
      <c r="D28" s="401">
        <f>'3 weeks ago'!K15</f>
        <v>0</v>
      </c>
      <c r="E28" s="402">
        <f>'Previous Week'!K15</f>
        <v>2</v>
      </c>
      <c r="F28" s="402">
        <f>'Last Week'!K15</f>
        <v>0</v>
      </c>
      <c r="G28" s="452">
        <f t="shared" si="5"/>
        <v>2</v>
      </c>
      <c r="H28" s="491">
        <f>'2016 Data'!K49</f>
        <v>0.53551912568306015</v>
      </c>
      <c r="I28" s="418">
        <f>'YTD 2017'!K15</f>
        <v>3</v>
      </c>
      <c r="J28" s="401">
        <f>'YTD 2016'!K15</f>
        <v>3</v>
      </c>
      <c r="K28" s="401">
        <f>'YTD 2015'!K15</f>
        <v>0</v>
      </c>
      <c r="L28" s="404">
        <f t="shared" si="6"/>
        <v>0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ago'!B15</f>
        <v>1</v>
      </c>
      <c r="D29" s="401">
        <f>'3 weeks ago'!B15</f>
        <v>0</v>
      </c>
      <c r="E29" s="402">
        <f>'Previous Week'!B15</f>
        <v>0</v>
      </c>
      <c r="F29" s="402">
        <f>'Last Week'!B15</f>
        <v>0</v>
      </c>
      <c r="G29" s="452">
        <f t="shared" si="5"/>
        <v>1</v>
      </c>
      <c r="H29" s="491">
        <f>'2016 Data'!B49</f>
        <v>2.0655737704918034</v>
      </c>
      <c r="I29" s="418">
        <f>'YTD 2017'!B15</f>
        <v>6</v>
      </c>
      <c r="J29" s="401">
        <f>'YTD 2016'!B15</f>
        <v>6</v>
      </c>
      <c r="K29" s="401">
        <f>'YTD 2015'!B15</f>
        <v>11</v>
      </c>
      <c r="L29" s="404">
        <f t="shared" si="6"/>
        <v>0</v>
      </c>
      <c r="M29" s="407">
        <f t="shared" si="7"/>
        <v>-5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</v>
      </c>
      <c r="D30" s="420">
        <f t="shared" si="8"/>
        <v>5</v>
      </c>
      <c r="E30" s="420">
        <f t="shared" si="8"/>
        <v>4</v>
      </c>
      <c r="F30" s="421">
        <f t="shared" si="8"/>
        <v>3</v>
      </c>
      <c r="G30" s="455">
        <f t="shared" si="8"/>
        <v>13</v>
      </c>
      <c r="H30" s="494">
        <f t="shared" si="8"/>
        <v>18.666666666666664</v>
      </c>
      <c r="I30" s="422">
        <f t="shared" si="8"/>
        <v>70</v>
      </c>
      <c r="J30" s="420">
        <f t="shared" si="8"/>
        <v>68</v>
      </c>
      <c r="K30" s="420">
        <f t="shared" si="8"/>
        <v>55</v>
      </c>
      <c r="L30" s="412">
        <f>(I30-J30)/J30</f>
        <v>2.9411764705882353E-2</v>
      </c>
      <c r="M30" s="413">
        <f>(I30-K30)/K30</f>
        <v>0.27272727272727271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6</v>
      </c>
      <c r="E31" s="409">
        <f t="shared" si="9"/>
        <v>5</v>
      </c>
      <c r="F31" s="410">
        <f t="shared" si="9"/>
        <v>3</v>
      </c>
      <c r="G31" s="453">
        <f t="shared" si="9"/>
        <v>17</v>
      </c>
      <c r="H31" s="492">
        <f t="shared" si="9"/>
        <v>24.558634628340442</v>
      </c>
      <c r="I31" s="411">
        <f t="shared" si="9"/>
        <v>92</v>
      </c>
      <c r="J31" s="409">
        <f t="shared" si="9"/>
        <v>101</v>
      </c>
      <c r="K31" s="409">
        <f t="shared" si="9"/>
        <v>65</v>
      </c>
      <c r="L31" s="412">
        <f>(I31-J31)/J31</f>
        <v>-8.9108910891089105E-2</v>
      </c>
      <c r="M31" s="413">
        <f>(I31-K31)/K31</f>
        <v>0.41538461538461541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ago'!S15</f>
        <v>0</v>
      </c>
      <c r="D41" s="441">
        <f>'3 weeks ago'!S15</f>
        <v>4</v>
      </c>
      <c r="E41" s="441">
        <f>'Previous Week'!S15</f>
        <v>4</v>
      </c>
      <c r="F41" s="442">
        <f>'Last Week'!S15</f>
        <v>1</v>
      </c>
      <c r="G41" s="452">
        <f t="shared" ref="G41:G42" si="10">SUM(C41:F41)</f>
        <v>9</v>
      </c>
      <c r="H41" s="501">
        <f>'2016 Data'!R49</f>
        <v>15.57260273972603</v>
      </c>
      <c r="I41" s="443">
        <f>'YTD 2017'!S15</f>
        <v>33</v>
      </c>
      <c r="J41" s="441">
        <f>'YTD 2016'!S15</f>
        <v>88</v>
      </c>
      <c r="K41" s="441">
        <f>'YTD 2015'!S15</f>
        <v>17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ago'!T15</f>
        <v>0</v>
      </c>
      <c r="D42" s="447">
        <f>'3 weeks ago'!T15</f>
        <v>6</v>
      </c>
      <c r="E42" s="446">
        <f>'Previous Week'!T15</f>
        <v>4</v>
      </c>
      <c r="F42" s="460">
        <f>'Last Week'!T15</f>
        <v>3</v>
      </c>
      <c r="G42" s="452">
        <f t="shared" si="10"/>
        <v>13</v>
      </c>
      <c r="H42" s="502">
        <f>'2016 Data'!S49</f>
        <v>13.271232876712329</v>
      </c>
      <c r="I42" s="448">
        <f>'YTD 2017'!T15</f>
        <v>48</v>
      </c>
      <c r="J42" s="482">
        <f>'YTD 2016'!T15</f>
        <v>47</v>
      </c>
      <c r="K42" s="446">
        <f>'YTD 2015'!T15</f>
        <v>30</v>
      </c>
      <c r="L42" s="412">
        <f>(I42-J42)/J42</f>
        <v>2.1276595744680851E-2</v>
      </c>
      <c r="M42" s="413">
        <f>(I42-K42)/K42</f>
        <v>0.6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5" priority="1" stopIfTrue="1" operator="greaterThan">
      <formula>0</formula>
    </cfRule>
  </conditionalFormatting>
  <conditionalFormatting sqref="L32:M32">
    <cfRule type="cellIs" dxfId="7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G10" sqref="G10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7" t="s">
        <v>64</v>
      </c>
      <c r="C4" s="29" t="s">
        <v>13</v>
      </c>
      <c r="I4" s="326" t="s">
        <v>157</v>
      </c>
      <c r="N4" s="27"/>
    </row>
    <row r="5" spans="1:21" ht="18.75" customHeight="1" x14ac:dyDescent="0.3">
      <c r="A5" s="27"/>
      <c r="C5" s="220" t="s">
        <v>232</v>
      </c>
      <c r="G5" s="78"/>
      <c r="H5" s="29"/>
      <c r="L5"/>
      <c r="N5" s="27"/>
      <c r="P5" t="s">
        <v>56</v>
      </c>
    </row>
    <row r="6" spans="1:21" ht="1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233</v>
      </c>
      <c r="D10" s="250" t="s">
        <v>222</v>
      </c>
      <c r="E10" s="251" t="s">
        <v>181</v>
      </c>
      <c r="F10" s="252" t="s">
        <v>234</v>
      </c>
      <c r="G10" s="253">
        <v>42826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31'!F11+'Beat 32'!F11+'Beat 33'!F11+'Beat 34'!F11+'Beat 35'!F11+'Beat 37'!F11</f>
        <v>3</v>
      </c>
      <c r="D11" s="2">
        <f>'Beat 31'!E11+'Beat 32'!E11+'Beat 33'!E11+'Beat 34'!E11+'Beat 35'!E11+'Beat 37'!E11</f>
        <v>0</v>
      </c>
      <c r="E11" s="42">
        <f t="shared" ref="E11:E18" si="0">H11/4</f>
        <v>0.45901639344262302</v>
      </c>
      <c r="F11" s="106">
        <f>'Beat 31'!G11+'Beat 32'!G11+'Beat 33'!G11+'Beat 34'!G11+'Beat 35'!G11+'Beat 37'!G11</f>
        <v>3</v>
      </c>
      <c r="G11" s="263">
        <f>'Previous 28 Days'!F5</f>
        <v>1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4</v>
      </c>
      <c r="J11" s="2">
        <f>'Beat 31'!J11+'Beat 32'!J11+'Beat 33'!J11+'Beat 34'!J11+'Beat 35'!J11+'Beat 37'!J11</f>
        <v>10</v>
      </c>
      <c r="K11" s="2">
        <f>'Beat 31'!K11+'Beat 32'!K11+'Beat 33'!K11+'Beat 34'!K11+'Beat 35'!K11+'Beat 37'!K11</f>
        <v>5</v>
      </c>
      <c r="L11" s="52">
        <f t="shared" ref="L11:L18" si="1">I11-J11</f>
        <v>-6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31'!F12+'Beat 32'!F12+'Beat 33'!F12+'Beat 34'!F12+'Beat 35'!F12+'Beat 37'!F12</f>
        <v>2</v>
      </c>
      <c r="D12" s="2">
        <f>'Beat 31'!E12+'Beat 32'!E12+'Beat 33'!E12+'Beat 34'!E12+'Beat 35'!E12+'Beat 37'!E12</f>
        <v>1</v>
      </c>
      <c r="E12" s="42">
        <f t="shared" si="0"/>
        <v>0.21038251366120217</v>
      </c>
      <c r="F12" s="106">
        <f>'Beat 31'!G12+'Beat 32'!G12+'Beat 33'!G12+'Beat 34'!G12+'Beat 35'!G12+'Beat 37'!G12</f>
        <v>4</v>
      </c>
      <c r="G12" s="263">
        <f>'Previous 28 Days'!M5</f>
        <v>0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5</v>
      </c>
      <c r="J12" s="2">
        <f>'Beat 31'!J12+'Beat 32'!J12+'Beat 33'!J12+'Beat 34'!J12+'Beat 35'!J12+'Beat 37'!J12</f>
        <v>5</v>
      </c>
      <c r="K12" s="2">
        <f>'Beat 31'!K12+'Beat 32'!K12+'Beat 33'!K12+'Beat 34'!K12+'Beat 35'!K12+'Beat 37'!K12</f>
        <v>2</v>
      </c>
      <c r="L12" s="52">
        <f t="shared" si="1"/>
        <v>0</v>
      </c>
      <c r="M12" s="53">
        <f t="shared" si="2"/>
        <v>3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269" t="s">
        <v>200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0.26849315068493146</v>
      </c>
      <c r="F13" s="106">
        <f>'Beat 31'!G13+'Beat 32'!G13+'Beat 33'!G13+'Beat 34'!G13+'Beat 35'!G13+'Beat 37'!G13</f>
        <v>0</v>
      </c>
      <c r="G13" s="558">
        <f>'New Rapes'!L8</f>
        <v>0</v>
      </c>
      <c r="H13" s="42">
        <f>'Beat 31'!H13+'Beat 32'!H13+'Beat 33'!H13+'Beat 34'!H13+'Beat 35'!H13+'Beat 37'!H13</f>
        <v>1.0739726027397258</v>
      </c>
      <c r="I13" s="111">
        <f>'Beat 31'!I13+'Beat 32'!I13+'Beat 33'!I13+'Beat 34'!I13+'Beat 35'!I13+'Beat 37'!I13</f>
        <v>5</v>
      </c>
      <c r="J13" s="2">
        <f>'Beat 31'!J13+'Beat 32'!J13+'Beat 33'!J13+'Beat 34'!J13+'Beat 35'!J13+'Beat 37'!J13</f>
        <v>3</v>
      </c>
      <c r="K13" s="2">
        <f>'Beat 31'!K13+'Beat 32'!K13+'Beat 33'!K13+'Beat 34'!K13+'Beat 35'!K13+'Beat 37'!K13</f>
        <v>4</v>
      </c>
      <c r="L13" s="52">
        <f t="shared" ref="L13" si="4">I13-J13</f>
        <v>2</v>
      </c>
      <c r="M13" s="53">
        <f t="shared" ref="M13" si="5">I13-K13</f>
        <v>1</v>
      </c>
      <c r="N13" s="18"/>
    </row>
    <row r="14" spans="1:21" x14ac:dyDescent="0.2">
      <c r="A14" s="19"/>
      <c r="B14" s="10" t="s">
        <v>29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0</v>
      </c>
      <c r="E14" s="42">
        <f t="shared" si="0"/>
        <v>0.26775956284153007</v>
      </c>
      <c r="F14" s="106">
        <f>'Beat 31'!G14+'Beat 32'!G14+'Beat 33'!G14+'Beat 34'!G14+'Beat 35'!G14+'Beat 37'!G14</f>
        <v>1</v>
      </c>
      <c r="G14" s="263">
        <f>'Previous 28 Days'!D5</f>
        <v>1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6</v>
      </c>
      <c r="J14" s="2">
        <f>'Beat 31'!J14+'Beat 32'!J14+'Beat 33'!J14+'Beat 34'!J14+'Beat 35'!J14+'Beat 37'!J14</f>
        <v>3</v>
      </c>
      <c r="K14" s="2">
        <f>'Beat 31'!K14+'Beat 32'!K14+'Beat 33'!K14+'Beat 34'!K14+'Beat 35'!K14+'Beat 37'!K14</f>
        <v>2</v>
      </c>
      <c r="L14" s="52">
        <f t="shared" si="1"/>
        <v>3</v>
      </c>
      <c r="M14" s="53">
        <f t="shared" si="2"/>
        <v>4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31'!F15+'Beat 32'!F15+'Beat 33'!F15+'Beat 34'!F15+'Beat 35'!F15+'Beat 37'!F15</f>
        <v>2</v>
      </c>
      <c r="D15" s="2">
        <f>'Beat 31'!E15+'Beat 32'!E15+'Beat 33'!E15+'Beat 34'!E15+'Beat 35'!E15+'Beat 37'!E15</f>
        <v>1</v>
      </c>
      <c r="E15" s="42">
        <f>H15/4</f>
        <v>1.9316939890710385</v>
      </c>
      <c r="F15" s="106">
        <f>'Beat 31'!G15+'Beat 32'!G15+'Beat 33'!G15+'Beat 34'!G15+'Beat 35'!G15+'Beat 37'!G15</f>
        <v>5</v>
      </c>
      <c r="G15" s="263">
        <f>'Previous 28 Days'!Q5</f>
        <v>6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16</v>
      </c>
      <c r="J15" s="2">
        <f>'Beat 31'!J15+'Beat 32'!J15+'Beat 33'!J15+'Beat 34'!J15+'Beat 35'!J15+'Beat 37'!J15</f>
        <v>24</v>
      </c>
      <c r="K15" s="2">
        <f>'Beat 31'!K15+'Beat 32'!K15+'Beat 33'!K15+'Beat 34'!K15+'Beat 35'!K15+'Beat 37'!K15</f>
        <v>26</v>
      </c>
      <c r="L15" s="52">
        <f t="shared" si="1"/>
        <v>-8</v>
      </c>
      <c r="M15" s="53">
        <f t="shared" si="2"/>
        <v>-10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31'!F16+'Beat 32'!F16+'Beat 33'!F16+'Beat 34'!F16+'Beat 35'!F16+'Beat 37'!F16</f>
        <v>1</v>
      </c>
      <c r="D16" s="2">
        <f>'Beat 31'!E16+'Beat 32'!E16+'Beat 33'!E16+'Beat 34'!E16+'Beat 35'!E16+'Beat 37'!E16</f>
        <v>2</v>
      </c>
      <c r="E16" s="42">
        <f t="shared" si="0"/>
        <v>0.2103825136612022</v>
      </c>
      <c r="F16" s="106">
        <f>'Beat 31'!G16+'Beat 32'!G16+'Beat 33'!G16+'Beat 34'!G16+'Beat 35'!G16+'Beat 37'!G16</f>
        <v>3</v>
      </c>
      <c r="G16" s="263">
        <f>'Previous 28 Days'!O5</f>
        <v>0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4</v>
      </c>
      <c r="J16" s="2">
        <f>'Beat 31'!J16+'Beat 32'!J16+'Beat 33'!J16+'Beat 34'!J16+'Beat 35'!J16+'Beat 37'!J16</f>
        <v>4</v>
      </c>
      <c r="K16" s="2">
        <f>'Beat 31'!K16+'Beat 32'!K16+'Beat 33'!K16+'Beat 34'!K16+'Beat 35'!K16+'Beat 37'!K16</f>
        <v>2</v>
      </c>
      <c r="L16" s="52">
        <f t="shared" si="1"/>
        <v>0</v>
      </c>
      <c r="M16" s="53">
        <f t="shared" si="2"/>
        <v>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31'!F17+'Beat 32'!F17+'Beat 33'!F17+'Beat 34'!F17+'Beat 35'!F17+'Beat 37'!F17</f>
        <v>6</v>
      </c>
      <c r="D17" s="2">
        <f>'Beat 31'!E17+'Beat 32'!E17+'Beat 33'!E17+'Beat 34'!E17+'Beat 35'!E17+'Beat 37'!E17</f>
        <v>4</v>
      </c>
      <c r="E17" s="42">
        <f t="shared" si="0"/>
        <v>1.262295081967213</v>
      </c>
      <c r="F17" s="106">
        <f>'Beat 31'!G17+'Beat 32'!G17+'Beat 33'!G17+'Beat 34'!G17+'Beat 35'!G17+'Beat 37'!G17</f>
        <v>17</v>
      </c>
      <c r="G17" s="263">
        <f>'Previous 28 Days'!E5</f>
        <v>5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35</v>
      </c>
      <c r="J17" s="2">
        <f>'Beat 31'!J17+'Beat 32'!J17+'Beat 33'!J17+'Beat 34'!J17+'Beat 35'!J17+'Beat 37'!J17</f>
        <v>23</v>
      </c>
      <c r="K17" s="2">
        <f>'Beat 31'!K17+'Beat 32'!K17+'Beat 33'!K17+'Beat 34'!K17+'Beat 35'!K17+'Beat 37'!K17</f>
        <v>31</v>
      </c>
      <c r="L17" s="52">
        <f t="shared" si="1"/>
        <v>12</v>
      </c>
      <c r="M17" s="53">
        <f t="shared" si="2"/>
        <v>4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">
      <c r="A18" s="19"/>
      <c r="B18" s="10" t="s">
        <v>41</v>
      </c>
      <c r="C18" s="103">
        <f>'Beat 31'!F18+'Beat 32'!F18+'Beat 33'!F18+'Beat 34'!F18+'Beat 35'!F18+'Beat 37'!F18</f>
        <v>2</v>
      </c>
      <c r="D18" s="2">
        <f>'Beat 31'!E18+'Beat 32'!E18+'Beat 33'!E18+'Beat 34'!E18+'Beat 35'!E18+'Beat 37'!E18</f>
        <v>1</v>
      </c>
      <c r="E18" s="42">
        <f t="shared" si="0"/>
        <v>1.0327868852459017</v>
      </c>
      <c r="F18" s="106">
        <f>'Beat 31'!G18+'Beat 32'!G18+'Beat 33'!G18+'Beat 34'!G18+'Beat 35'!G18+'Beat 37'!G18</f>
        <v>7</v>
      </c>
      <c r="G18" s="263">
        <f>'Previous 28 Days'!J5</f>
        <v>7</v>
      </c>
      <c r="H18" s="42">
        <f>'Beat 31'!H18+'Beat 32'!H18+'Beat 33'!H18+'Beat 34'!H18+'Beat 35'!H18+'Beat 37'!H18</f>
        <v>4.1311475409836067</v>
      </c>
      <c r="I18" s="111">
        <f>'Beat 31'!I18+'Beat 32'!I18+'Beat 33'!I18+'Beat 34'!I18+'Beat 35'!I18+'Beat 37'!I18</f>
        <v>22</v>
      </c>
      <c r="J18" s="2">
        <f>'Beat 31'!J18+'Beat 32'!J18+'Beat 33'!J18+'Beat 34'!J18+'Beat 35'!J18+'Beat 37'!J18</f>
        <v>15</v>
      </c>
      <c r="K18" s="2">
        <f>'Beat 31'!K18+'Beat 32'!K18+'Beat 33'!K18+'Beat 34'!K18+'Beat 35'!K18+'Beat 37'!K18</f>
        <v>12</v>
      </c>
      <c r="L18" s="52">
        <f t="shared" si="1"/>
        <v>7</v>
      </c>
      <c r="M18" s="53">
        <f t="shared" si="2"/>
        <v>10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16</v>
      </c>
      <c r="D19" s="12">
        <f t="shared" si="7"/>
        <v>9</v>
      </c>
      <c r="E19" s="43">
        <f t="shared" si="7"/>
        <v>5.642810090575642</v>
      </c>
      <c r="F19" s="110">
        <f t="shared" si="7"/>
        <v>40</v>
      </c>
      <c r="G19" s="70">
        <f t="shared" si="7"/>
        <v>20</v>
      </c>
      <c r="H19" s="43">
        <f t="shared" si="7"/>
        <v>22.571240362302568</v>
      </c>
      <c r="I19" s="104">
        <f t="shared" si="7"/>
        <v>97</v>
      </c>
      <c r="J19" s="12">
        <f t="shared" si="7"/>
        <v>87</v>
      </c>
      <c r="K19" s="46">
        <f t="shared" si="7"/>
        <v>84</v>
      </c>
      <c r="L19" s="54">
        <f>(I19-J19)/J19</f>
        <v>0.11494252873563218</v>
      </c>
      <c r="M19" s="55">
        <f>(I19-K19)/K19</f>
        <v>0.15476190476190477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31'!F21+'Beat 32'!F21+'Beat 33'!F21+'Beat 34'!F21+'Beat 35'!F21+'Beat 37'!F21</f>
        <v>0</v>
      </c>
      <c r="D21" s="2">
        <f>'Beat 31'!E21+'Beat 32'!E21+'Beat 33'!E21+'Beat 34'!E21+'Beat 35'!E21+'Beat 37'!E21</f>
        <v>1</v>
      </c>
      <c r="E21" s="42">
        <f>H21/4</f>
        <v>2.1229508196721314</v>
      </c>
      <c r="F21" s="106">
        <f>'Beat 31'!G21+'Beat 32'!G21+'Beat 33'!G21+'Beat 34'!G21+'Beat 35'!G21+'Beat 37'!G21</f>
        <v>2</v>
      </c>
      <c r="G21" s="263">
        <f>'Previous 28 Days'!C5</f>
        <v>2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9</v>
      </c>
      <c r="J21" s="2">
        <f>'Beat 31'!J21+'Beat 32'!J21+'Beat 33'!J21+'Beat 34'!J21+'Beat 35'!J21+'Beat 37'!J21</f>
        <v>25</v>
      </c>
      <c r="K21" s="2">
        <f>'Beat 31'!K21+'Beat 32'!K21+'Beat 33'!K21+'Beat 34'!K21+'Beat 35'!K21+'Beat 37'!K21</f>
        <v>25</v>
      </c>
      <c r="L21" s="52">
        <f>I21-J21</f>
        <v>-16</v>
      </c>
      <c r="M21" s="53">
        <f>I21-K21</f>
        <v>-16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31'!F22+'Beat 32'!F22+'Beat 33'!F22+'Beat 34'!F22+'Beat 35'!F22+'Beat 37'!F22</f>
        <v>4</v>
      </c>
      <c r="D22" s="2">
        <f>'Beat 31'!E22+'Beat 32'!E22+'Beat 33'!E22+'Beat 34'!E22+'Beat 35'!E22+'Beat 37'!E22</f>
        <v>3</v>
      </c>
      <c r="E22" s="42">
        <f t="shared" ref="E22:E29" si="9">H22/4</f>
        <v>7.4207650273224033</v>
      </c>
      <c r="F22" s="106">
        <f>'Beat 31'!G22+'Beat 32'!G22+'Beat 33'!G22+'Beat 34'!G22+'Beat 35'!G22+'Beat 37'!G22</f>
        <v>17</v>
      </c>
      <c r="G22" s="263">
        <f>'Previous 28 Days'!N5</f>
        <v>19</v>
      </c>
      <c r="H22" s="42">
        <f>'Beat 31'!H22+'Beat 32'!H22+'Beat 33'!H22+'Beat 34'!H22+'Beat 35'!H22+'Beat 37'!H22</f>
        <v>29.683060109289613</v>
      </c>
      <c r="I22" s="111">
        <f>'Beat 31'!I22+'Beat 32'!I22+'Beat 33'!I22+'Beat 34'!I22+'Beat 35'!I22+'Beat 37'!I22</f>
        <v>67</v>
      </c>
      <c r="J22" s="2">
        <f>'Beat 31'!J22+'Beat 32'!J22+'Beat 33'!J22+'Beat 34'!J22+'Beat 35'!J22+'Beat 37'!J22</f>
        <v>83</v>
      </c>
      <c r="K22" s="2">
        <f>'Beat 31'!K22+'Beat 32'!K22+'Beat 33'!K22+'Beat 34'!K22+'Beat 35'!K22+'Beat 37'!K22</f>
        <v>102</v>
      </c>
      <c r="L22" s="52">
        <f t="shared" ref="L22:L29" si="10">I22-J22</f>
        <v>-16</v>
      </c>
      <c r="M22" s="53">
        <f t="shared" ref="M22:M29" si="11">I22-K22</f>
        <v>-35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31'!F23+'Beat 32'!F23+'Beat 33'!F23+'Beat 34'!F23+'Beat 35'!F23+'Beat 37'!F23</f>
        <v>1</v>
      </c>
      <c r="D23" s="2">
        <f>'Beat 31'!E23+'Beat 32'!E23+'Beat 33'!E23+'Beat 34'!E23+'Beat 35'!E23+'Beat 37'!E23</f>
        <v>2</v>
      </c>
      <c r="E23" s="42">
        <f>H23/4</f>
        <v>0.34426229508196721</v>
      </c>
      <c r="F23" s="106">
        <f>'Beat 31'!G23+'Beat 32'!G23+'Beat 33'!G23+'Beat 34'!G23+'Beat 35'!G23+'Beat 37'!G23</f>
        <v>4</v>
      </c>
      <c r="G23" s="263">
        <f>'Previous 28 Days'!L5</f>
        <v>3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11</v>
      </c>
      <c r="J23" s="2">
        <f>'Beat 31'!J23+'Beat 32'!J23+'Beat 33'!J23+'Beat 34'!J23+'Beat 35'!J23+'Beat 37'!J23</f>
        <v>7</v>
      </c>
      <c r="K23" s="2">
        <f>'Beat 31'!K23+'Beat 32'!K23+'Beat 33'!K23+'Beat 34'!K23+'Beat 35'!K23+'Beat 37'!K23</f>
        <v>5</v>
      </c>
      <c r="L23" s="52">
        <f t="shared" si="10"/>
        <v>4</v>
      </c>
      <c r="M23" s="53">
        <f t="shared" si="11"/>
        <v>6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31'!F24+'Beat 32'!F24+'Beat 33'!F24+'Beat 34'!F24+'Beat 35'!F24+'Beat 37'!F24</f>
        <v>6</v>
      </c>
      <c r="D24" s="2">
        <f>'Beat 31'!E24+'Beat 32'!E24+'Beat 33'!E24+'Beat 34'!E24+'Beat 35'!E24+'Beat 37'!E24</f>
        <v>2</v>
      </c>
      <c r="E24" s="42">
        <f t="shared" si="9"/>
        <v>3.1366120218579234</v>
      </c>
      <c r="F24" s="106">
        <f>'Beat 31'!G24+'Beat 32'!G24+'Beat 33'!G24+'Beat 34'!G24+'Beat 35'!G24+'Beat 37'!G24</f>
        <v>14</v>
      </c>
      <c r="G24" s="263">
        <f>'Previous 28 Days'!P5</f>
        <v>14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75</v>
      </c>
      <c r="J24" s="2">
        <f>'Beat 31'!J24+'Beat 32'!J24+'Beat 33'!J24+'Beat 34'!J24+'Beat 35'!J24+'Beat 37'!J24</f>
        <v>47</v>
      </c>
      <c r="K24" s="2">
        <f>'Beat 31'!K24+'Beat 32'!K24+'Beat 33'!K24+'Beat 34'!K24+'Beat 35'!K24+'Beat 37'!K24</f>
        <v>30</v>
      </c>
      <c r="L24" s="52">
        <f t="shared" si="10"/>
        <v>28</v>
      </c>
      <c r="M24" s="53">
        <f t="shared" si="11"/>
        <v>45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31'!F25+'Beat 32'!F25+'Beat 33'!F25+'Beat 34'!F25+'Beat 35'!F25+'Beat 37'!F25</f>
        <v>15</v>
      </c>
      <c r="D25" s="2">
        <f>'Beat 31'!E25+'Beat 32'!E25+'Beat 33'!E25+'Beat 34'!E25+'Beat 35'!E25+'Beat 37'!E25</f>
        <v>12</v>
      </c>
      <c r="E25" s="42">
        <f>H25/4</f>
        <v>8.6256830601092904</v>
      </c>
      <c r="F25" s="106">
        <f>'Beat 31'!G25+'Beat 32'!G25+'Beat 33'!G25+'Beat 34'!G25+'Beat 35'!G25+'Beat 37'!G25</f>
        <v>46</v>
      </c>
      <c r="G25" s="263">
        <f>'Previous 28 Days'!G5</f>
        <v>31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160</v>
      </c>
      <c r="J25" s="2">
        <f>'Beat 31'!J25+'Beat 32'!J25+'Beat 33'!J25+'Beat 34'!J25+'Beat 35'!J25+'Beat 37'!J25</f>
        <v>150</v>
      </c>
      <c r="K25" s="2">
        <f>'Beat 31'!K25+'Beat 32'!K25+'Beat 33'!K25+'Beat 34'!K25+'Beat 35'!K25+'Beat 37'!K25</f>
        <v>159</v>
      </c>
      <c r="L25" s="52">
        <f t="shared" si="10"/>
        <v>10</v>
      </c>
      <c r="M25" s="53">
        <f t="shared" si="11"/>
        <v>1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31'!F26+'Beat 32'!F26+'Beat 33'!F26+'Beat 34'!F26+'Beat 35'!F26+'Beat 37'!F26</f>
        <v>10</v>
      </c>
      <c r="D26" s="2">
        <f>'Beat 31'!E26+'Beat 32'!E26+'Beat 33'!E26+'Beat 34'!E26+'Beat 35'!E26+'Beat 37'!E26</f>
        <v>9</v>
      </c>
      <c r="E26" s="42">
        <f t="shared" si="9"/>
        <v>4.3415300546448092</v>
      </c>
      <c r="F26" s="106">
        <f>'Beat 31'!G26+'Beat 32'!G26+'Beat 33'!G26+'Beat 34'!G26+'Beat 35'!G26+'Beat 37'!G26</f>
        <v>28</v>
      </c>
      <c r="G26" s="263">
        <f>'Previous 28 Days'!I5</f>
        <v>12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74</v>
      </c>
      <c r="J26" s="2">
        <f>'Beat 31'!J26+'Beat 32'!J26+'Beat 33'!J26+'Beat 34'!J26+'Beat 35'!J26+'Beat 37'!J26</f>
        <v>54</v>
      </c>
      <c r="K26" s="2">
        <f>'Beat 31'!K26+'Beat 32'!K26+'Beat 33'!K26+'Beat 34'!K26+'Beat 35'!K26+'Beat 37'!K26</f>
        <v>56</v>
      </c>
      <c r="L26" s="52">
        <f t="shared" si="10"/>
        <v>20</v>
      </c>
      <c r="M26" s="53">
        <f t="shared" si="11"/>
        <v>18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">
      <c r="A27" s="19"/>
      <c r="B27" s="10" t="s">
        <v>67</v>
      </c>
      <c r="C27" s="103">
        <f>'Beat 31'!F27+'Beat 32'!F27+'Beat 33'!F27+'Beat 34'!F27+'Beat 35'!F27+'Beat 37'!F27</f>
        <v>3</v>
      </c>
      <c r="D27" s="2">
        <f>'Beat 31'!E27+'Beat 32'!E27+'Beat 33'!E27+'Beat 34'!E27+'Beat 35'!E27+'Beat 37'!E27</f>
        <v>4</v>
      </c>
      <c r="E27" s="42">
        <f>H27/4</f>
        <v>5.6420765027322402</v>
      </c>
      <c r="F27" s="106">
        <f>'Beat 31'!G27+'Beat 32'!G27+'Beat 33'!G27+'Beat 34'!G27+'Beat 35'!G27+'Beat 37'!G27</f>
        <v>14</v>
      </c>
      <c r="G27" s="263">
        <f>'Previous 28 Days'!H5</f>
        <v>6</v>
      </c>
      <c r="H27" s="42">
        <f>'Beat 31'!H27+'Beat 32'!H27+'Beat 33'!H27+'Beat 34'!H27+'Beat 35'!H27+'Beat 37'!H27</f>
        <v>22.568306010928961</v>
      </c>
      <c r="I27" s="111">
        <f>'Beat 31'!I27+'Beat 32'!I27+'Beat 33'!I27+'Beat 34'!I27+'Beat 35'!I27+'Beat 37'!I27</f>
        <v>48</v>
      </c>
      <c r="J27" s="2">
        <f>'Beat 31'!J27+'Beat 32'!J27+'Beat 33'!J27+'Beat 34'!J27+'Beat 35'!J27+'Beat 37'!J27</f>
        <v>91</v>
      </c>
      <c r="K27" s="2">
        <f>'Beat 31'!K27+'Beat 32'!K27+'Beat 33'!K27+'Beat 34'!K27+'Beat 35'!K27+'Beat 37'!K27</f>
        <v>64</v>
      </c>
      <c r="L27" s="52">
        <f>I27-J27</f>
        <v>-43</v>
      </c>
      <c r="M27" s="53">
        <f>I27-K27</f>
        <v>-16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">
      <c r="A28" s="19"/>
      <c r="B28" s="10" t="s">
        <v>34</v>
      </c>
      <c r="C28" s="103">
        <f>'Beat 31'!F28+'Beat 32'!F28+'Beat 33'!F28+'Beat 34'!F28+'Beat 35'!F28+'Beat 37'!F28</f>
        <v>1</v>
      </c>
      <c r="D28" s="2">
        <f>'Beat 31'!E28+'Beat 32'!E28+'Beat 33'!E28+'Beat 34'!E28+'Beat 35'!E28+'Beat 37'!E28</f>
        <v>1</v>
      </c>
      <c r="E28" s="42">
        <f t="shared" si="9"/>
        <v>0.40163934426229503</v>
      </c>
      <c r="F28" s="106">
        <f>'Beat 31'!G28+'Beat 32'!G28+'Beat 33'!G28+'Beat 34'!G28+'Beat 35'!G28+'Beat 37'!G28</f>
        <v>4</v>
      </c>
      <c r="G28" s="263">
        <f>'Previous 28 Days'!K5</f>
        <v>5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14</v>
      </c>
      <c r="J28" s="2">
        <f>'Beat 31'!J28+'Beat 32'!J28+'Beat 33'!J28+'Beat 34'!J28+'Beat 35'!J28+'Beat 37'!J28</f>
        <v>6</v>
      </c>
      <c r="K28" s="2">
        <f>'Beat 31'!K28+'Beat 32'!K28+'Beat 33'!K28+'Beat 34'!K28+'Beat 35'!K28+'Beat 37'!K28</f>
        <v>17</v>
      </c>
      <c r="L28" s="52">
        <f t="shared" si="10"/>
        <v>8</v>
      </c>
      <c r="M28" s="53">
        <f t="shared" si="11"/>
        <v>-3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31'!F29+'Beat 32'!F29+'Beat 33'!F29+'Beat 34'!F29+'Beat 35'!F29+'Beat 37'!F29</f>
        <v>4</v>
      </c>
      <c r="D29" s="2">
        <f>'Beat 31'!E29+'Beat 32'!E29+'Beat 33'!E29+'Beat 34'!E29+'Beat 35'!E29+'Beat 37'!E29</f>
        <v>1</v>
      </c>
      <c r="E29" s="42">
        <f t="shared" si="9"/>
        <v>4.4754098360655741</v>
      </c>
      <c r="F29" s="106">
        <f>'Beat 31'!G29+'Beat 32'!G29+'Beat 33'!G29+'Beat 34'!G29+'Beat 35'!G29+'Beat 37'!G29</f>
        <v>10</v>
      </c>
      <c r="G29" s="263">
        <f>'Previous 28 Days'!B5</f>
        <v>20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61</v>
      </c>
      <c r="J29" s="2">
        <f>'Beat 31'!J29+'Beat 32'!J29+'Beat 33'!J29+'Beat 34'!J29+'Beat 35'!J29+'Beat 37'!J29</f>
        <v>79</v>
      </c>
      <c r="K29" s="2">
        <f>'Beat 31'!K29+'Beat 32'!K29+'Beat 33'!K29+'Beat 34'!K29+'Beat 35'!K29+'Beat 37'!K29</f>
        <v>78</v>
      </c>
      <c r="L29" s="52">
        <f t="shared" si="10"/>
        <v>-18</v>
      </c>
      <c r="M29" s="53">
        <f t="shared" si="11"/>
        <v>-17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">
      <c r="A30" s="19"/>
      <c r="B30" s="14" t="s">
        <v>5</v>
      </c>
      <c r="C30" s="108">
        <f t="shared" ref="C30:K30" si="12">SUM(C21:C29)</f>
        <v>44</v>
      </c>
      <c r="D30" s="13">
        <f t="shared" si="12"/>
        <v>35</v>
      </c>
      <c r="E30" s="44">
        <f t="shared" si="12"/>
        <v>36.510928961748633</v>
      </c>
      <c r="F30" s="108">
        <f t="shared" si="12"/>
        <v>139</v>
      </c>
      <c r="G30" s="13">
        <f t="shared" si="12"/>
        <v>112</v>
      </c>
      <c r="H30" s="44">
        <f t="shared" si="12"/>
        <v>146.04371584699453</v>
      </c>
      <c r="I30" s="108">
        <f t="shared" si="12"/>
        <v>519</v>
      </c>
      <c r="J30" s="13">
        <f t="shared" si="12"/>
        <v>542</v>
      </c>
      <c r="K30" s="47">
        <f t="shared" si="12"/>
        <v>536</v>
      </c>
      <c r="L30" s="54">
        <f>(I30-J30)/J30</f>
        <v>-4.2435424354243544E-2</v>
      </c>
      <c r="M30" s="55">
        <f>(I30-K30)/K30</f>
        <v>-3.1716417910447763E-2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5" thickBot="1" x14ac:dyDescent="0.25">
      <c r="A31" s="19"/>
      <c r="B31" s="11" t="s">
        <v>6</v>
      </c>
      <c r="C31" s="104">
        <f>C30+C19</f>
        <v>60</v>
      </c>
      <c r="D31" s="12">
        <f>D30+D19</f>
        <v>44</v>
      </c>
      <c r="E31" s="45">
        <f>E19+E30</f>
        <v>42.153739052324276</v>
      </c>
      <c r="F31" s="104">
        <f>F30+F19</f>
        <v>179</v>
      </c>
      <c r="G31" s="12">
        <f>G30+G19</f>
        <v>132</v>
      </c>
      <c r="H31" s="45">
        <f>H19+H30</f>
        <v>168.61495620929711</v>
      </c>
      <c r="I31" s="104">
        <f>I30+I19</f>
        <v>616</v>
      </c>
      <c r="J31" s="12">
        <f>J30+J19</f>
        <v>629</v>
      </c>
      <c r="K31" s="46">
        <f>K30+K19</f>
        <v>620</v>
      </c>
      <c r="L31" s="54">
        <f>(I31-J31)/J31</f>
        <v>-2.066772655007949E-2</v>
      </c>
      <c r="M31" s="55">
        <f>(I31-K31)/K31</f>
        <v>-6.4516129032258064E-3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-13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199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233</v>
      </c>
      <c r="D40" s="250" t="s">
        <v>222</v>
      </c>
      <c r="E40" s="96" t="s">
        <v>74</v>
      </c>
      <c r="F40" s="95" t="s">
        <v>234</v>
      </c>
      <c r="G40" s="253">
        <v>42826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service'!D6</f>
        <v>157</v>
      </c>
      <c r="D41" s="89">
        <f>+'Calls for service'!D14</f>
        <v>101</v>
      </c>
      <c r="E41" s="66">
        <f>+'Calls for service'!D30</f>
        <v>125.86575342465753</v>
      </c>
      <c r="F41" s="71">
        <f>+'Calls for service'!N6</f>
        <v>475</v>
      </c>
      <c r="G41" s="71">
        <f>+'Calls for service'!N14</f>
        <v>413</v>
      </c>
      <c r="H41" s="66">
        <f>+'Calls for service'!N30</f>
        <v>503.46301369863011</v>
      </c>
      <c r="I41" s="71">
        <f>+'Calls for service'!X22</f>
        <v>1810</v>
      </c>
      <c r="J41" s="71">
        <f>+'Calls for service'!X14</f>
        <v>2162</v>
      </c>
      <c r="K41" s="66">
        <f>+'Calls for service'!X30</f>
        <v>2002.6666666666667</v>
      </c>
      <c r="L41" s="91">
        <f>+I41-J41</f>
        <v>-352</v>
      </c>
      <c r="M41" s="56">
        <f>+I41-K41</f>
        <v>-192.66666666666674</v>
      </c>
      <c r="N41" s="18"/>
    </row>
    <row r="42" spans="1:14" x14ac:dyDescent="0.2">
      <c r="A42" s="19"/>
      <c r="B42" s="10" t="s">
        <v>52</v>
      </c>
      <c r="C42" s="90">
        <f>+'Calls for service'!D5</f>
        <v>226</v>
      </c>
      <c r="D42" s="90">
        <f>+'Calls for service'!D13</f>
        <v>267</v>
      </c>
      <c r="E42" s="67">
        <f>+'Calls for service'!D29</f>
        <v>271.25479452054793</v>
      </c>
      <c r="F42" s="71">
        <f>+'Calls for service'!N5</f>
        <v>1028</v>
      </c>
      <c r="G42" s="71">
        <f>+'Calls for service'!N13</f>
        <v>948</v>
      </c>
      <c r="H42" s="67">
        <f>+'Calls for service'!N29</f>
        <v>1085.0191780821917</v>
      </c>
      <c r="I42" s="71">
        <f>+'Calls for service'!X21</f>
        <v>4091</v>
      </c>
      <c r="J42" s="71">
        <f>+'Calls for service'!X13</f>
        <v>4311</v>
      </c>
      <c r="K42" s="67">
        <f>+'Calls for service'!Y29</f>
        <v>4024</v>
      </c>
      <c r="L42" s="76">
        <f>+I42-J42</f>
        <v>-220</v>
      </c>
      <c r="M42" s="53">
        <f>+I42-K42</f>
        <v>67</v>
      </c>
      <c r="N42" s="18"/>
    </row>
    <row r="43" spans="1:14" x14ac:dyDescent="0.2">
      <c r="A43" s="19"/>
      <c r="B43" s="10" t="s">
        <v>53</v>
      </c>
      <c r="C43" s="90">
        <f>+'Calls for service'!D4</f>
        <v>307</v>
      </c>
      <c r="D43" s="86">
        <f>+'Calls for service'!D12</f>
        <v>267</v>
      </c>
      <c r="E43" s="67">
        <f>+'Calls for service'!D28</f>
        <v>293.96164383561643</v>
      </c>
      <c r="F43" s="71">
        <f>+'Calls for service'!N4</f>
        <v>1156</v>
      </c>
      <c r="G43" s="71">
        <f>+'Calls for service'!N12</f>
        <v>1030</v>
      </c>
      <c r="H43" s="67">
        <f>+'Calls for service'!N28</f>
        <v>1175.8465753424657</v>
      </c>
      <c r="I43" s="71">
        <f>+'Calls for service'!X20</f>
        <v>4384</v>
      </c>
      <c r="J43" s="71">
        <f>+'Calls for service'!X12</f>
        <v>4746</v>
      </c>
      <c r="K43" s="67">
        <f>+'Calls for service'!X28</f>
        <v>4633.666666666667</v>
      </c>
      <c r="L43" s="76">
        <f>+I43-J43</f>
        <v>-362</v>
      </c>
      <c r="M43" s="53">
        <f>+I43-K43</f>
        <v>-249.66666666666697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690</v>
      </c>
      <c r="D44" s="46">
        <f t="shared" si="13"/>
        <v>635</v>
      </c>
      <c r="E44" s="68">
        <f t="shared" si="13"/>
        <v>691.08219178082186</v>
      </c>
      <c r="F44" s="73">
        <f t="shared" si="13"/>
        <v>2659</v>
      </c>
      <c r="G44" s="46">
        <f t="shared" si="13"/>
        <v>2391</v>
      </c>
      <c r="H44" s="68">
        <f t="shared" si="13"/>
        <v>2764.3287671232874</v>
      </c>
      <c r="I44" s="73">
        <f t="shared" si="13"/>
        <v>10285</v>
      </c>
      <c r="J44" s="46">
        <f t="shared" si="13"/>
        <v>11219</v>
      </c>
      <c r="K44" s="68">
        <f t="shared" si="13"/>
        <v>10660.333333333334</v>
      </c>
      <c r="L44" s="330">
        <f>+(I44-J44)/J44</f>
        <v>-8.3251626704697393E-2</v>
      </c>
      <c r="M44" s="331">
        <f>+(I44-K44)/K44</f>
        <v>-3.5208404990463141E-2</v>
      </c>
      <c r="N44" s="18"/>
    </row>
    <row r="45" spans="1:14" s="215" customFormat="1" x14ac:dyDescent="0.2">
      <c r="A45" s="19"/>
      <c r="B45" s="343" t="s">
        <v>75</v>
      </c>
      <c r="C45" s="299">
        <f>'Beat 31'!F41+'Beat 32'!F41+'Beat 33'!F41+'Beat 34'!F41+'Beat 35'!F41+'Beat 37'!F41</f>
        <v>5</v>
      </c>
      <c r="D45" s="298">
        <f>'Beat 31'!E41+'Beat 32'!E41+'Beat 33'!E41+'Beat 34'!E41+'Beat 35'!E41+'Beat 37'!E41</f>
        <v>11</v>
      </c>
      <c r="E45" s="341">
        <f>H45/4</f>
        <v>12.35068493150685</v>
      </c>
      <c r="F45" s="486">
        <f>'Beat 31'!G41+'Beat 32'!G41+'Beat 33'!G41+'Beat 34'!G41+'Beat 35'!G41+'Beat 37'!G41</f>
        <v>41</v>
      </c>
      <c r="G45" s="298">
        <f>'Previous 28 Days'!B16</f>
        <v>37</v>
      </c>
      <c r="H45" s="341">
        <f>'Beat 31'!H41+'Beat 32'!H41+'Beat 33'!H41+'Beat 34'!H41+'Beat 35'!H41+'Beat 37'!H41</f>
        <v>49.402739726027399</v>
      </c>
      <c r="I45" s="486">
        <f>'Beat 31'!I41+'Beat 32'!I41+'Beat 33'!I41+'Beat 34'!I41+'Beat 35'!I41+'Beat 37'!I41</f>
        <v>240</v>
      </c>
      <c r="J45" s="486">
        <f>'Beat 31'!J41+'Beat 32'!J41+'Beat 33'!J41+'Beat 34'!J41+'Beat 35'!J41+'Beat 37'!J41</f>
        <v>288</v>
      </c>
      <c r="K45" s="486">
        <f>'Beat 31'!K41+'Beat 32'!K41+'Beat 33'!K41+'Beat 34'!K41+'Beat 35'!K41+'Beat 37'!K41</f>
        <v>116</v>
      </c>
      <c r="L45" s="336">
        <f>I45-J45</f>
        <v>-48</v>
      </c>
      <c r="M45" s="333">
        <f>I45-K45</f>
        <v>124</v>
      </c>
      <c r="N45" s="216"/>
    </row>
    <row r="46" spans="1:14" ht="13.5" thickBot="1" x14ac:dyDescent="0.25">
      <c r="A46" s="19"/>
      <c r="B46" s="344" t="s">
        <v>76</v>
      </c>
      <c r="C46" s="299">
        <f>'Beat 31'!F42+'Beat 32'!F42+'Beat 33'!F42+'Beat 34'!F42+'Beat 35'!F42+'Beat 37'!F42</f>
        <v>34</v>
      </c>
      <c r="D46" s="298">
        <f>'Beat 31'!E42+'Beat 32'!E42+'Beat 33'!E42+'Beat 34'!E42+'Beat 35'!E42+'Beat 37'!E42</f>
        <v>13</v>
      </c>
      <c r="E46" s="335">
        <f>H46/4</f>
        <v>18.526027397260272</v>
      </c>
      <c r="F46" s="348">
        <f>'Beat 31'!G42+'Beat 32'!G42+'Beat 33'!G42+'Beat 34'!G42+'Beat 35'!G42+'Beat 37'!G42</f>
        <v>109</v>
      </c>
      <c r="G46" s="298">
        <f>'Previous 28 Days'!C16</f>
        <v>71</v>
      </c>
      <c r="H46" s="341">
        <f>'Beat 31'!H42+'Beat 32'!H42+'Beat 33'!H42+'Beat 34'!H42+'Beat 35'!H42+'Beat 37'!H42</f>
        <v>74.104109589041087</v>
      </c>
      <c r="I46" s="348">
        <f>'Beat 31'!I42+'Beat 32'!I42+'Beat 33'!I42+'Beat 34'!I42+'Beat 35'!I42+'Beat 37'!I42</f>
        <v>338</v>
      </c>
      <c r="J46" s="348">
        <f>'Beat 31'!J42+'Beat 32'!J42+'Beat 33'!J42+'Beat 34'!J42+'Beat 35'!J42+'Beat 37'!J42</f>
        <v>345</v>
      </c>
      <c r="K46" s="487">
        <f>'Beat 31'!K42+'Beat 32'!K42+'Beat 33'!K42+'Beat 34'!K42+'Beat 35'!K42+'Beat 37'!K42</f>
        <v>296</v>
      </c>
      <c r="L46" s="337">
        <f>I46-J46</f>
        <v>-7</v>
      </c>
      <c r="M46" s="208">
        <f>I46-K46</f>
        <v>42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7" type="noConversion"/>
  <conditionalFormatting sqref="L32:M32 M47">
    <cfRule type="cellIs" dxfId="73" priority="9" stopIfTrue="1" operator="greaterThan">
      <formula>0</formula>
    </cfRule>
  </conditionalFormatting>
  <conditionalFormatting sqref="C11:C12 C21:C29 C14:C18">
    <cfRule type="cellIs" dxfId="72" priority="12" stopIfTrue="1" operator="greaterThan">
      <formula>E11+P11</formula>
    </cfRule>
    <cfRule type="cellIs" dxfId="71" priority="13" stopIfTrue="1" operator="lessThan">
      <formula>E11-P11</formula>
    </cfRule>
  </conditionalFormatting>
  <conditionalFormatting sqref="F21:F29 F11:F12 F14:F18">
    <cfRule type="cellIs" dxfId="70" priority="14" stopIfTrue="1" operator="greaterThan">
      <formula>H11+Q11</formula>
    </cfRule>
    <cfRule type="cellIs" dxfId="69" priority="15" stopIfTrue="1" operator="lessThan">
      <formula>H11-Q11</formula>
    </cfRule>
  </conditionalFormatting>
  <conditionalFormatting sqref="I11:I12 I21:I29 I14:I18">
    <cfRule type="cellIs" dxfId="68" priority="16" stopIfTrue="1" operator="greaterThan">
      <formula>J11+R11</formula>
    </cfRule>
    <cfRule type="cellIs" dxfId="67" priority="17" stopIfTrue="1" operator="lessThan">
      <formula>J11-R11</formula>
    </cfRule>
  </conditionalFormatting>
  <pageMargins left="0.42" right="0.33" top="0.37" bottom="0" header="0.22" footer="0.17"/>
  <pageSetup scale="97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Data'!F50</f>
        <v>0.22950819672131148</v>
      </c>
      <c r="I11" s="403">
        <f>'YTD 2017'!F17</f>
        <v>0</v>
      </c>
      <c r="J11" s="401">
        <f>'YTD 2016'!F17</f>
        <v>1</v>
      </c>
      <c r="K11" s="401">
        <f>'YTD 2015'!F17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ago'!M17</f>
        <v>0</v>
      </c>
      <c r="D12" s="401">
        <f>'3 weeks ago'!M17</f>
        <v>0</v>
      </c>
      <c r="E12" s="402">
        <f>'Previous Week'!M17</f>
        <v>0</v>
      </c>
      <c r="F12" s="402">
        <f>'Last Week'!M17</f>
        <v>2</v>
      </c>
      <c r="G12" s="452">
        <f t="shared" ref="G12:G18" si="2">SUM(C12:F12)</f>
        <v>2</v>
      </c>
      <c r="H12" s="491">
        <f>'2016 Data'!M50</f>
        <v>0</v>
      </c>
      <c r="I12" s="403">
        <f>'YTD 2017'!M17</f>
        <v>2</v>
      </c>
      <c r="J12" s="401">
        <f>'YTD 2016'!M17</f>
        <v>0</v>
      </c>
      <c r="K12" s="401">
        <f>'YTD 2015'!M17</f>
        <v>0</v>
      </c>
      <c r="L12" s="404">
        <f t="shared" si="0"/>
        <v>2</v>
      </c>
      <c r="M12" s="407">
        <f t="shared" si="1"/>
        <v>2</v>
      </c>
      <c r="N12" s="380"/>
    </row>
    <row r="13" spans="1:14" x14ac:dyDescent="0.25">
      <c r="A13" s="375"/>
      <c r="B13" s="269" t="s">
        <v>200</v>
      </c>
      <c r="C13" s="556">
        <f>'New Rapes'!E20</f>
        <v>0</v>
      </c>
      <c r="D13" s="556">
        <f>'New Rapes'!D20</f>
        <v>0</v>
      </c>
      <c r="E13" s="555">
        <f>'New Rapes'!C20</f>
        <v>0</v>
      </c>
      <c r="F13" s="555">
        <f>'New Rapes'!B20</f>
        <v>0</v>
      </c>
      <c r="G13" s="452">
        <f t="shared" si="2"/>
        <v>0</v>
      </c>
      <c r="H13" s="576">
        <v>0.23013698630136983</v>
      </c>
      <c r="I13" s="557">
        <f>'New Rapes'!G20</f>
        <v>0</v>
      </c>
      <c r="J13" s="556">
        <f>'New Rapes'!H20</f>
        <v>1</v>
      </c>
      <c r="K13" s="556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Data'!D50</f>
        <v>7.650273224043716E-2</v>
      </c>
      <c r="I14" s="403">
        <f>'YTD 2017'!D17</f>
        <v>0</v>
      </c>
      <c r="J14" s="401">
        <f>'YTD 2016'!D17</f>
        <v>0</v>
      </c>
      <c r="K14" s="401">
        <f>'YTD 2015'!D17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ago'!Q17</f>
        <v>0</v>
      </c>
      <c r="D15" s="401">
        <f>'3 weeks ago'!Q17</f>
        <v>1</v>
      </c>
      <c r="E15" s="402">
        <f>'Previous Week'!Q17</f>
        <v>0</v>
      </c>
      <c r="F15" s="402">
        <f>'Last Week'!Q17</f>
        <v>0</v>
      </c>
      <c r="G15" s="452">
        <f t="shared" si="2"/>
        <v>1</v>
      </c>
      <c r="H15" s="491">
        <f>'2016 Data'!Q50</f>
        <v>0.84153005464480868</v>
      </c>
      <c r="I15" s="403">
        <f>'YTD 2017'!Q17</f>
        <v>2</v>
      </c>
      <c r="J15" s="401">
        <f>'YTD 2016'!Q17</f>
        <v>2</v>
      </c>
      <c r="K15" s="401">
        <f>'YTD 2015'!Q17</f>
        <v>7</v>
      </c>
      <c r="L15" s="404">
        <f t="shared" si="0"/>
        <v>0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ago'!O17</f>
        <v>0</v>
      </c>
      <c r="D16" s="401">
        <f>'3 weeks ago'!O17</f>
        <v>0</v>
      </c>
      <c r="E16" s="402">
        <f>'Previous Week'!O17</f>
        <v>1</v>
      </c>
      <c r="F16" s="402">
        <f>'Last Week'!O17</f>
        <v>1</v>
      </c>
      <c r="G16" s="452">
        <f t="shared" si="2"/>
        <v>2</v>
      </c>
      <c r="H16" s="491">
        <f>'2016 Data'!O50</f>
        <v>0.22950819672131148</v>
      </c>
      <c r="I16" s="403">
        <f>'YTD 2017'!O17</f>
        <v>2</v>
      </c>
      <c r="J16" s="401">
        <f>'YTD 2016'!O17</f>
        <v>1</v>
      </c>
      <c r="K16" s="401">
        <f>'YTD 2015'!O17</f>
        <v>1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ago'!E17</f>
        <v>1</v>
      </c>
      <c r="D17" s="401">
        <f>'3 weeks ago'!E17</f>
        <v>0</v>
      </c>
      <c r="E17" s="402">
        <f>'Previous Week'!E17</f>
        <v>3</v>
      </c>
      <c r="F17" s="402">
        <f>'Last Week'!E17</f>
        <v>1</v>
      </c>
      <c r="G17" s="452">
        <f t="shared" si="2"/>
        <v>5</v>
      </c>
      <c r="H17" s="491">
        <f>'2016 Data'!E50</f>
        <v>1.5300546448087431</v>
      </c>
      <c r="I17" s="403">
        <f>'YTD 2017'!E17</f>
        <v>13</v>
      </c>
      <c r="J17" s="401">
        <f>'YTD 2016'!E17</f>
        <v>7</v>
      </c>
      <c r="K17" s="401">
        <f>'YTD 2015'!E17</f>
        <v>10</v>
      </c>
      <c r="L17" s="404">
        <f t="shared" si="0"/>
        <v>6</v>
      </c>
      <c r="M17" s="407">
        <f t="shared" si="1"/>
        <v>3</v>
      </c>
      <c r="N17" s="380"/>
    </row>
    <row r="18" spans="1:14" x14ac:dyDescent="0.25">
      <c r="A18" s="375"/>
      <c r="B18" s="406" t="s">
        <v>41</v>
      </c>
      <c r="C18" s="401">
        <f>'4 weeks ago'!J17</f>
        <v>0</v>
      </c>
      <c r="D18" s="401">
        <f>'3 weeks ago'!J17</f>
        <v>2</v>
      </c>
      <c r="E18" s="402">
        <f>'Previous Week'!J17</f>
        <v>0</v>
      </c>
      <c r="F18" s="402">
        <f>'Last Week'!J17</f>
        <v>1</v>
      </c>
      <c r="G18" s="452">
        <f t="shared" si="2"/>
        <v>3</v>
      </c>
      <c r="H18" s="491">
        <f>'2016 Data'!J50</f>
        <v>0.84153005464480868</v>
      </c>
      <c r="I18" s="403">
        <f>'YTD 2017'!J17</f>
        <v>6</v>
      </c>
      <c r="J18" s="401">
        <f>'YTD 2016'!J17</f>
        <v>1</v>
      </c>
      <c r="K18" s="401">
        <f>'YTD 2015'!J17</f>
        <v>4</v>
      </c>
      <c r="L18" s="404">
        <f t="shared" si="0"/>
        <v>5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3</v>
      </c>
      <c r="E19" s="409">
        <f t="shared" si="3"/>
        <v>4</v>
      </c>
      <c r="F19" s="410">
        <f t="shared" si="3"/>
        <v>5</v>
      </c>
      <c r="G19" s="453">
        <f t="shared" si="3"/>
        <v>13</v>
      </c>
      <c r="H19" s="492">
        <f t="shared" ref="H19" si="4">SUM(H11:H18)</f>
        <v>3.9787708660827907</v>
      </c>
      <c r="I19" s="411">
        <f t="shared" si="3"/>
        <v>25</v>
      </c>
      <c r="J19" s="409">
        <f t="shared" si="3"/>
        <v>13</v>
      </c>
      <c r="K19" s="409">
        <f t="shared" si="3"/>
        <v>22</v>
      </c>
      <c r="L19" s="412">
        <f>(I19-J19)/J19</f>
        <v>0.92307692307692313</v>
      </c>
      <c r="M19" s="413">
        <f>(I19-K19)/K19</f>
        <v>0.13636363636363635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ago'!C17</f>
        <v>1</v>
      </c>
      <c r="D21" s="401">
        <f>'3 weeks ago'!C17</f>
        <v>0</v>
      </c>
      <c r="E21" s="402">
        <f>'Previous Week'!C17</f>
        <v>0</v>
      </c>
      <c r="F21" s="402">
        <f>'Last Week'!C17</f>
        <v>0</v>
      </c>
      <c r="G21" s="452">
        <f t="shared" ref="G21:G29" si="5">SUM(C21:F21)</f>
        <v>1</v>
      </c>
      <c r="H21" s="491">
        <f>'2016 Data'!C50</f>
        <v>0.53551912568306015</v>
      </c>
      <c r="I21" s="416">
        <f>'YTD 2017'!C17</f>
        <v>2</v>
      </c>
      <c r="J21" s="401">
        <f>'YTD 2016'!C17</f>
        <v>3</v>
      </c>
      <c r="K21" s="401">
        <f>'YTD 2015'!C17</f>
        <v>3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ago'!N17</f>
        <v>4</v>
      </c>
      <c r="D22" s="401">
        <f>'3 weeks ago'!N17</f>
        <v>0</v>
      </c>
      <c r="E22" s="402">
        <f>'Previous Week'!N17</f>
        <v>1</v>
      </c>
      <c r="F22" s="402">
        <f>'Last Week'!N17</f>
        <v>3</v>
      </c>
      <c r="G22" s="452">
        <f t="shared" si="5"/>
        <v>8</v>
      </c>
      <c r="H22" s="491">
        <f>'2016 Data'!N50</f>
        <v>5.9672131147540979</v>
      </c>
      <c r="I22" s="418">
        <f>'YTD 2017'!N17</f>
        <v>30</v>
      </c>
      <c r="J22" s="401">
        <f>'YTD 2016'!N17</f>
        <v>19</v>
      </c>
      <c r="K22" s="401">
        <f>'YTD 2015'!N17</f>
        <v>19</v>
      </c>
      <c r="L22" s="404">
        <f t="shared" si="6"/>
        <v>11</v>
      </c>
      <c r="M22" s="407">
        <f t="shared" ref="M22:M29" si="7">I22-K22</f>
        <v>11</v>
      </c>
      <c r="N22" s="380"/>
    </row>
    <row r="23" spans="1:14" x14ac:dyDescent="0.25">
      <c r="A23" s="375"/>
      <c r="B23" s="417" t="s">
        <v>62</v>
      </c>
      <c r="C23" s="401">
        <f>'4 weeks ago'!L17</f>
        <v>1</v>
      </c>
      <c r="D23" s="401">
        <f>'3 weeks ago'!L17</f>
        <v>0</v>
      </c>
      <c r="E23" s="402">
        <f>'Previous Week'!L17</f>
        <v>2</v>
      </c>
      <c r="F23" s="402">
        <f>'Last Week'!L17</f>
        <v>0</v>
      </c>
      <c r="G23" s="418">
        <f t="shared" si="5"/>
        <v>3</v>
      </c>
      <c r="H23" s="491">
        <f>'2016 Data'!L50</f>
        <v>0.30601092896174864</v>
      </c>
      <c r="I23" s="418">
        <f>'YTD 2017'!L17</f>
        <v>4</v>
      </c>
      <c r="J23" s="401">
        <f>'YTD 2016'!L17</f>
        <v>2</v>
      </c>
      <c r="K23" s="401">
        <f>'YTD 2015'!L17</f>
        <v>1</v>
      </c>
      <c r="L23" s="404">
        <f t="shared" si="6"/>
        <v>2</v>
      </c>
      <c r="M23" s="407">
        <f t="shared" si="7"/>
        <v>3</v>
      </c>
      <c r="N23" s="380"/>
    </row>
    <row r="24" spans="1:14" x14ac:dyDescent="0.25">
      <c r="A24" s="375"/>
      <c r="B24" s="417" t="s">
        <v>33</v>
      </c>
      <c r="C24" s="401">
        <f>'4 weeks ago'!P17</f>
        <v>0</v>
      </c>
      <c r="D24" s="401">
        <f>'3 weeks ago'!P17</f>
        <v>0</v>
      </c>
      <c r="E24" s="402">
        <f>'Previous Week'!P17</f>
        <v>0</v>
      </c>
      <c r="F24" s="402">
        <f>'Last Week'!P17</f>
        <v>0</v>
      </c>
      <c r="G24" s="403">
        <f t="shared" si="5"/>
        <v>0</v>
      </c>
      <c r="H24" s="491">
        <f>'2016 Data'!P50</f>
        <v>0.45901639344262296</v>
      </c>
      <c r="I24" s="418">
        <f>'YTD 2017'!P17</f>
        <v>0</v>
      </c>
      <c r="J24" s="401">
        <f>'YTD 2016'!P17</f>
        <v>1</v>
      </c>
      <c r="K24" s="401">
        <f>'YTD 2015'!P17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ago'!G17</f>
        <v>1</v>
      </c>
      <c r="D25" s="401">
        <f>'3 weeks ago'!G17</f>
        <v>0</v>
      </c>
      <c r="E25" s="402">
        <f>'Previous Week'!G17</f>
        <v>0</v>
      </c>
      <c r="F25" s="402">
        <f>'Last Week'!G17</f>
        <v>3</v>
      </c>
      <c r="G25" s="403">
        <f t="shared" si="5"/>
        <v>4</v>
      </c>
      <c r="H25" s="491">
        <f>'2016 Data'!G50</f>
        <v>2.7540983606557377</v>
      </c>
      <c r="I25" s="418">
        <f>'YTD 2017'!G17</f>
        <v>17</v>
      </c>
      <c r="J25" s="401">
        <f>'YTD 2016'!G17</f>
        <v>13</v>
      </c>
      <c r="K25" s="401">
        <f>'YTD 2015'!G17</f>
        <v>19</v>
      </c>
      <c r="L25" s="404">
        <f t="shared" si="6"/>
        <v>4</v>
      </c>
      <c r="M25" s="407">
        <f t="shared" si="7"/>
        <v>-2</v>
      </c>
      <c r="N25" s="380"/>
    </row>
    <row r="26" spans="1:14" x14ac:dyDescent="0.25">
      <c r="A26" s="375"/>
      <c r="B26" s="406" t="s">
        <v>68</v>
      </c>
      <c r="C26" s="401">
        <f>'4 weeks ago'!I17</f>
        <v>1</v>
      </c>
      <c r="D26" s="401">
        <f>'3 weeks ago'!I17</f>
        <v>2</v>
      </c>
      <c r="E26" s="402">
        <f>'Previous Week'!I17</f>
        <v>0</v>
      </c>
      <c r="F26" s="402">
        <f>'Last Week'!I17</f>
        <v>1</v>
      </c>
      <c r="G26" s="452">
        <f t="shared" si="5"/>
        <v>4</v>
      </c>
      <c r="H26" s="491">
        <f>'2016 Data'!I50</f>
        <v>1.8360655737704918</v>
      </c>
      <c r="I26" s="418">
        <f>'YTD 2017'!I17</f>
        <v>6</v>
      </c>
      <c r="J26" s="401">
        <f>'YTD 2016'!I17</f>
        <v>7</v>
      </c>
      <c r="K26" s="401">
        <f>'YTD 2015'!I17</f>
        <v>4</v>
      </c>
      <c r="L26" s="404">
        <f t="shared" si="6"/>
        <v>-1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ago'!H17</f>
        <v>1</v>
      </c>
      <c r="D27" s="401">
        <f>'3 weeks ago'!H17</f>
        <v>0</v>
      </c>
      <c r="E27" s="402">
        <f>'Previous Week'!H17</f>
        <v>0</v>
      </c>
      <c r="F27" s="402">
        <f>'Last Week'!H17</f>
        <v>1</v>
      </c>
      <c r="G27" s="452">
        <f t="shared" si="5"/>
        <v>2</v>
      </c>
      <c r="H27" s="491">
        <f>'2016 Data'!H50</f>
        <v>2.4480874316939891</v>
      </c>
      <c r="I27" s="418">
        <f>'YTD 2017'!H17</f>
        <v>5</v>
      </c>
      <c r="J27" s="401">
        <f>'YTD 2016'!H17</f>
        <v>8</v>
      </c>
      <c r="K27" s="401">
        <f>'YTD 2015'!H17</f>
        <v>9</v>
      </c>
      <c r="L27" s="404">
        <f>I27-J27</f>
        <v>-3</v>
      </c>
      <c r="M27" s="407">
        <f>I27-K27</f>
        <v>-4</v>
      </c>
      <c r="N27" s="380"/>
    </row>
    <row r="28" spans="1:14" x14ac:dyDescent="0.25">
      <c r="A28" s="375"/>
      <c r="B28" s="406" t="s">
        <v>34</v>
      </c>
      <c r="C28" s="401">
        <f>'4 weeks ago'!K17</f>
        <v>0</v>
      </c>
      <c r="D28" s="401">
        <f>'3 weeks ago'!K17</f>
        <v>1</v>
      </c>
      <c r="E28" s="402">
        <f>'Previous Week'!K17</f>
        <v>0</v>
      </c>
      <c r="F28" s="402">
        <f>'Last Week'!K17</f>
        <v>0</v>
      </c>
      <c r="G28" s="452">
        <f t="shared" si="5"/>
        <v>1</v>
      </c>
      <c r="H28" s="491">
        <f>'2016 Data'!K50</f>
        <v>0.30601092896174864</v>
      </c>
      <c r="I28" s="418">
        <f>'YTD 2017'!K17</f>
        <v>1</v>
      </c>
      <c r="J28" s="401">
        <f>'YTD 2016'!K17</f>
        <v>1</v>
      </c>
      <c r="K28" s="401">
        <f>'YTD 2015'!K17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ago'!B17</f>
        <v>0</v>
      </c>
      <c r="D29" s="401">
        <f>'3 weeks ago'!B17</f>
        <v>1</v>
      </c>
      <c r="E29" s="402">
        <f>'Previous Week'!B17</f>
        <v>1</v>
      </c>
      <c r="F29" s="402">
        <f>'Last Week'!B17</f>
        <v>0</v>
      </c>
      <c r="G29" s="452">
        <f t="shared" si="5"/>
        <v>2</v>
      </c>
      <c r="H29" s="491">
        <f>'2016 Data'!B50</f>
        <v>2.9836065573770489</v>
      </c>
      <c r="I29" s="418">
        <f>'YTD 2017'!B17</f>
        <v>10</v>
      </c>
      <c r="J29" s="401">
        <f>'YTD 2016'!B17</f>
        <v>15</v>
      </c>
      <c r="K29" s="401">
        <f>'YTD 2015'!B17</f>
        <v>10</v>
      </c>
      <c r="L29" s="404">
        <f t="shared" si="6"/>
        <v>-5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9</v>
      </c>
      <c r="D30" s="420">
        <f t="shared" si="8"/>
        <v>4</v>
      </c>
      <c r="E30" s="420">
        <f t="shared" si="8"/>
        <v>4</v>
      </c>
      <c r="F30" s="421">
        <f t="shared" si="8"/>
        <v>8</v>
      </c>
      <c r="G30" s="455">
        <f t="shared" si="8"/>
        <v>25</v>
      </c>
      <c r="H30" s="494">
        <f t="shared" si="8"/>
        <v>17.595628415300546</v>
      </c>
      <c r="I30" s="422">
        <f t="shared" si="8"/>
        <v>75</v>
      </c>
      <c r="J30" s="420">
        <f t="shared" si="8"/>
        <v>69</v>
      </c>
      <c r="K30" s="420">
        <f t="shared" si="8"/>
        <v>66</v>
      </c>
      <c r="L30" s="412">
        <f>(I30-J30)/J30</f>
        <v>8.6956521739130432E-2</v>
      </c>
      <c r="M30" s="413">
        <f>(I30-K30)/K30</f>
        <v>0.13636363636363635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10</v>
      </c>
      <c r="D31" s="409">
        <f t="shared" si="9"/>
        <v>7</v>
      </c>
      <c r="E31" s="409">
        <f t="shared" si="9"/>
        <v>8</v>
      </c>
      <c r="F31" s="410">
        <f t="shared" si="9"/>
        <v>13</v>
      </c>
      <c r="G31" s="453">
        <f t="shared" si="9"/>
        <v>38</v>
      </c>
      <c r="H31" s="492">
        <f t="shared" si="9"/>
        <v>21.574399281383336</v>
      </c>
      <c r="I31" s="411">
        <f t="shared" si="9"/>
        <v>100</v>
      </c>
      <c r="J31" s="409">
        <f t="shared" si="9"/>
        <v>82</v>
      </c>
      <c r="K31" s="409">
        <f t="shared" si="9"/>
        <v>88</v>
      </c>
      <c r="L31" s="412">
        <f>(I31-J31)/J31</f>
        <v>0.21951219512195122</v>
      </c>
      <c r="M31" s="413">
        <f>(I31-K31)/K31</f>
        <v>0.13636363636363635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ago'!S17</f>
        <v>2</v>
      </c>
      <c r="D41" s="441">
        <f>'3 weeks ago'!S17</f>
        <v>1</v>
      </c>
      <c r="E41" s="441">
        <f>'Previous Week'!S17</f>
        <v>7</v>
      </c>
      <c r="F41" s="442">
        <f>'Last Week'!S10</f>
        <v>0</v>
      </c>
      <c r="G41" s="452">
        <f t="shared" ref="G41:G42" si="10">SUM(C41:F41)</f>
        <v>10</v>
      </c>
      <c r="H41" s="501">
        <f>'2016 Data'!R50</f>
        <v>16.8</v>
      </c>
      <c r="I41" s="443">
        <f>'YTD 2017'!S17</f>
        <v>85</v>
      </c>
      <c r="J41" s="441">
        <f>'YTD 2016'!S17</f>
        <v>96</v>
      </c>
      <c r="K41" s="441">
        <f>'YTD 2015'!S17</f>
        <v>52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ago'!T17</f>
        <v>5</v>
      </c>
      <c r="D42" s="447">
        <f>'3 weeks ago'!T17</f>
        <v>3</v>
      </c>
      <c r="E42" s="446">
        <f>'Previous Week'!T17</f>
        <v>9</v>
      </c>
      <c r="F42" s="460">
        <f>'Last Week'!T17</f>
        <v>10</v>
      </c>
      <c r="G42" s="452">
        <f t="shared" si="10"/>
        <v>27</v>
      </c>
      <c r="H42" s="502">
        <f>'2016 Data'!S50</f>
        <v>13.731506849315068</v>
      </c>
      <c r="I42" s="448">
        <f>'YTD 2017'!T17</f>
        <v>80</v>
      </c>
      <c r="J42" s="482">
        <f>'YTD 2016'!T17</f>
        <v>53</v>
      </c>
      <c r="K42" s="446">
        <f>'YTD 2015'!T17</f>
        <v>60</v>
      </c>
      <c r="L42" s="412">
        <f>(I42-J42)/J42</f>
        <v>0.50943396226415094</v>
      </c>
      <c r="M42" s="413">
        <f>(I42-K42)/K42</f>
        <v>0.33333333333333331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6" priority="1" stopIfTrue="1" operator="greaterThan">
      <formula>0</formula>
    </cfRule>
  </conditionalFormatting>
  <conditionalFormatting sqref="L32:M32">
    <cfRule type="cellIs" dxfId="6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Data'!F51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1</v>
      </c>
      <c r="L11" s="404">
        <f t="shared" ref="L11:L18" si="0">I11-J11</f>
        <v>-1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8" si="2">SUM(C12:F12)</f>
        <v>0</v>
      </c>
      <c r="H12" s="491">
        <f>'2016 Data'!M51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6">
        <f>'New Rapes'!E21</f>
        <v>0</v>
      </c>
      <c r="D13" s="556">
        <f>'New Rapes'!D21</f>
        <v>0</v>
      </c>
      <c r="E13" s="555">
        <f>'New Rapes'!C21</f>
        <v>0</v>
      </c>
      <c r="F13" s="555">
        <f>'New Rapes'!B21</f>
        <v>0</v>
      </c>
      <c r="G13" s="452">
        <f t="shared" ref="G13" si="3">SUM(C13:F13)</f>
        <v>0</v>
      </c>
      <c r="H13" s="576">
        <v>0</v>
      </c>
      <c r="I13" s="557">
        <f>'New Rapes'!G21</f>
        <v>0</v>
      </c>
      <c r="J13" s="556">
        <f>'New Rapes'!H21</f>
        <v>0</v>
      </c>
      <c r="K13" s="556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ago'!D18</f>
        <v>0</v>
      </c>
      <c r="D14" s="401">
        <f>'3 weeks ago'!D18</f>
        <v>0</v>
      </c>
      <c r="E14" s="402">
        <f>'Previous Week'!D18</f>
        <v>0</v>
      </c>
      <c r="F14" s="402">
        <f>'Last Week'!D18</f>
        <v>0</v>
      </c>
      <c r="G14" s="452">
        <f t="shared" si="2"/>
        <v>0</v>
      </c>
      <c r="H14" s="491">
        <f>'2016 Data'!D51</f>
        <v>0.38251366120218577</v>
      </c>
      <c r="I14" s="403">
        <f>'YTD 2017'!D18</f>
        <v>0</v>
      </c>
      <c r="J14" s="401">
        <f>'YTD 2016'!D18</f>
        <v>2</v>
      </c>
      <c r="K14" s="401">
        <f>'YTD 2015'!D18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ago'!Q18</f>
        <v>0</v>
      </c>
      <c r="D15" s="401">
        <f>'3 weeks ago'!Q18</f>
        <v>0</v>
      </c>
      <c r="E15" s="402">
        <f>'Previous Week'!Q18</f>
        <v>0</v>
      </c>
      <c r="F15" s="402">
        <f>'Last Week'!Q18</f>
        <v>0</v>
      </c>
      <c r="G15" s="452">
        <f t="shared" si="2"/>
        <v>0</v>
      </c>
      <c r="H15" s="491">
        <f>'2016 Data'!Q51</f>
        <v>1.0710382513661203</v>
      </c>
      <c r="I15" s="403">
        <f>'YTD 2017'!Q18</f>
        <v>0</v>
      </c>
      <c r="J15" s="401">
        <f>'YTD 2016'!Q18</f>
        <v>5</v>
      </c>
      <c r="K15" s="401">
        <f>'YTD 2015'!Q18</f>
        <v>0</v>
      </c>
      <c r="L15" s="404">
        <f t="shared" si="0"/>
        <v>-5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Data'!O51</f>
        <v>0</v>
      </c>
      <c r="I16" s="403">
        <f>'YTD 2017'!O18</f>
        <v>0</v>
      </c>
      <c r="J16" s="401">
        <f>'YTD 2016'!O18</f>
        <v>0</v>
      </c>
      <c r="K16" s="401">
        <f>'YTD 2015'!O18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ago'!E18</f>
        <v>1</v>
      </c>
      <c r="D17" s="401">
        <f>'3 weeks ago'!E18</f>
        <v>1</v>
      </c>
      <c r="E17" s="402">
        <f>'Previous Week'!E18</f>
        <v>0</v>
      </c>
      <c r="F17" s="402">
        <f>'Last Week'!E18</f>
        <v>0</v>
      </c>
      <c r="G17" s="452">
        <f t="shared" si="2"/>
        <v>2</v>
      </c>
      <c r="H17" s="491">
        <f>'2016 Data'!E51</f>
        <v>0.99453551912568305</v>
      </c>
      <c r="I17" s="403">
        <f>'YTD 2017'!E18</f>
        <v>3</v>
      </c>
      <c r="J17" s="401">
        <f>'YTD 2016'!E18</f>
        <v>4</v>
      </c>
      <c r="K17" s="401">
        <f>'YTD 2015'!E18</f>
        <v>3</v>
      </c>
      <c r="L17" s="404">
        <f t="shared" si="0"/>
        <v>-1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ago'!J18</f>
        <v>1</v>
      </c>
      <c r="D18" s="401">
        <f>'3 weeks ago'!J18</f>
        <v>0</v>
      </c>
      <c r="E18" s="402">
        <f>'Previous Week'!J18</f>
        <v>0</v>
      </c>
      <c r="F18" s="402">
        <f>'Last Week'!J18</f>
        <v>1</v>
      </c>
      <c r="G18" s="452">
        <f t="shared" si="2"/>
        <v>2</v>
      </c>
      <c r="H18" s="491">
        <f>'2016 Data'!J51</f>
        <v>0.53551912568306015</v>
      </c>
      <c r="I18" s="403">
        <f>'YTD 2017'!J18</f>
        <v>4</v>
      </c>
      <c r="J18" s="401">
        <f>'YTD 2016'!J18</f>
        <v>2</v>
      </c>
      <c r="K18" s="401">
        <f>'YTD 2015'!J18</f>
        <v>2</v>
      </c>
      <c r="L18" s="404">
        <f t="shared" si="0"/>
        <v>2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4</v>
      </c>
      <c r="H19" s="492">
        <f t="shared" si="4"/>
        <v>3.3661202185792352</v>
      </c>
      <c r="I19" s="411">
        <f t="shared" si="4"/>
        <v>7</v>
      </c>
      <c r="J19" s="409">
        <f t="shared" si="4"/>
        <v>15</v>
      </c>
      <c r="K19" s="409">
        <f t="shared" si="4"/>
        <v>7</v>
      </c>
      <c r="L19" s="412">
        <f>(I19-J19)/J19</f>
        <v>-0.53333333333333333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ago'!C18</f>
        <v>0</v>
      </c>
      <c r="D21" s="401">
        <f>'3 weeks ago'!C18</f>
        <v>0</v>
      </c>
      <c r="E21" s="402">
        <f>'Previous Week'!C18</f>
        <v>1</v>
      </c>
      <c r="F21" s="402">
        <f>'Last Week'!C18</f>
        <v>0</v>
      </c>
      <c r="G21" s="452">
        <f t="shared" ref="G21:G29" si="5">SUM(C21:F21)</f>
        <v>1</v>
      </c>
      <c r="H21" s="491">
        <f>'2016 Data'!C51</f>
        <v>1.8360655737704918</v>
      </c>
      <c r="I21" s="416">
        <f>'YTD 2017'!C18</f>
        <v>4</v>
      </c>
      <c r="J21" s="401">
        <f>'YTD 2016'!C18</f>
        <v>3</v>
      </c>
      <c r="K21" s="401">
        <f>'YTD 2015'!C18</f>
        <v>1</v>
      </c>
      <c r="L21" s="404">
        <f t="shared" ref="L21:L29" si="6">I21-J21</f>
        <v>1</v>
      </c>
      <c r="M21" s="407">
        <f>I21-K21</f>
        <v>3</v>
      </c>
      <c r="N21" s="380"/>
    </row>
    <row r="22" spans="1:14" x14ac:dyDescent="0.25">
      <c r="A22" s="375"/>
      <c r="B22" s="417" t="s">
        <v>42</v>
      </c>
      <c r="C22" s="401">
        <f>'4 weeks ago'!N18</f>
        <v>0</v>
      </c>
      <c r="D22" s="401">
        <f>'3 weeks ago'!N18</f>
        <v>1</v>
      </c>
      <c r="E22" s="402">
        <f>'Previous Week'!N18</f>
        <v>0</v>
      </c>
      <c r="F22" s="402">
        <f>'Last Week'!N18</f>
        <v>1</v>
      </c>
      <c r="G22" s="452">
        <f t="shared" si="5"/>
        <v>2</v>
      </c>
      <c r="H22" s="491">
        <f>'2016 Data'!N51</f>
        <v>4.5136612021857925</v>
      </c>
      <c r="I22" s="418">
        <f>'YTD 2017'!N18</f>
        <v>10</v>
      </c>
      <c r="J22" s="401">
        <f>'YTD 2016'!N18</f>
        <v>14</v>
      </c>
      <c r="K22" s="401">
        <f>'YTD 2015'!N18</f>
        <v>16</v>
      </c>
      <c r="L22" s="404">
        <f t="shared" si="6"/>
        <v>-4</v>
      </c>
      <c r="M22" s="407">
        <f t="shared" ref="M22:M29" si="7">I22-K22</f>
        <v>-6</v>
      </c>
      <c r="N22" s="380"/>
    </row>
    <row r="23" spans="1:14" x14ac:dyDescent="0.25">
      <c r="A23" s="375"/>
      <c r="B23" s="417" t="s">
        <v>62</v>
      </c>
      <c r="C23" s="401">
        <f>'4 weeks ago'!L18</f>
        <v>0</v>
      </c>
      <c r="D23" s="401">
        <f>'3 weeks ago'!L18</f>
        <v>0</v>
      </c>
      <c r="E23" s="402">
        <f>'Previous Week'!L18</f>
        <v>0</v>
      </c>
      <c r="F23" s="402">
        <f>'Last Week'!L18</f>
        <v>0</v>
      </c>
      <c r="G23" s="418">
        <f t="shared" si="5"/>
        <v>0</v>
      </c>
      <c r="H23" s="491">
        <f>'2016 Data'!L51</f>
        <v>0.15300546448087432</v>
      </c>
      <c r="I23" s="418">
        <f>'YTD 2017'!L18</f>
        <v>1</v>
      </c>
      <c r="J23" s="401">
        <f>'YTD 2016'!L18</f>
        <v>2</v>
      </c>
      <c r="K23" s="401">
        <f>'YTD 2015'!L18</f>
        <v>1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ago'!P18</f>
        <v>0</v>
      </c>
      <c r="D24" s="401">
        <f>'3 weeks ago'!P18</f>
        <v>0</v>
      </c>
      <c r="E24" s="402">
        <f>'Previous Week'!P18</f>
        <v>1</v>
      </c>
      <c r="F24" s="402">
        <f>'Last Week'!P18</f>
        <v>1</v>
      </c>
      <c r="G24" s="403">
        <f t="shared" si="5"/>
        <v>2</v>
      </c>
      <c r="H24" s="491">
        <f>'2016 Data'!P51</f>
        <v>2.0655737704918034</v>
      </c>
      <c r="I24" s="418">
        <f>'YTD 2017'!P18</f>
        <v>14</v>
      </c>
      <c r="J24" s="401">
        <f>'YTD 2016'!P18</f>
        <v>9</v>
      </c>
      <c r="K24" s="401">
        <f>'YTD 2015'!P18</f>
        <v>8</v>
      </c>
      <c r="L24" s="404">
        <f t="shared" si="6"/>
        <v>5</v>
      </c>
      <c r="M24" s="407">
        <f t="shared" si="7"/>
        <v>6</v>
      </c>
      <c r="N24" s="380"/>
    </row>
    <row r="25" spans="1:14" x14ac:dyDescent="0.25">
      <c r="A25" s="375"/>
      <c r="B25" s="406" t="s">
        <v>7</v>
      </c>
      <c r="C25" s="401">
        <f>'4 weeks ago'!G18</f>
        <v>1</v>
      </c>
      <c r="D25" s="401">
        <f>'3 weeks ago'!G18</f>
        <v>0</v>
      </c>
      <c r="E25" s="402">
        <f>'Previous Week'!G18</f>
        <v>0</v>
      </c>
      <c r="F25" s="402">
        <f>'Last Week'!G18</f>
        <v>3</v>
      </c>
      <c r="G25" s="403">
        <f t="shared" si="5"/>
        <v>4</v>
      </c>
      <c r="H25" s="491">
        <f>'2016 Data'!G51</f>
        <v>4.2841530054644812</v>
      </c>
      <c r="I25" s="418">
        <f>'YTD 2017'!G18</f>
        <v>9</v>
      </c>
      <c r="J25" s="401">
        <f>'YTD 2016'!G18</f>
        <v>27</v>
      </c>
      <c r="K25" s="401">
        <f>'YTD 2015'!G18</f>
        <v>12</v>
      </c>
      <c r="L25" s="404">
        <f t="shared" si="6"/>
        <v>-18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ago'!I18</f>
        <v>0</v>
      </c>
      <c r="D26" s="401">
        <f>'3 weeks ago'!I18</f>
        <v>0</v>
      </c>
      <c r="E26" s="402">
        <f>'Previous Week'!I18</f>
        <v>2</v>
      </c>
      <c r="F26" s="402">
        <f>'Last Week'!I18</f>
        <v>3</v>
      </c>
      <c r="G26" s="452">
        <f t="shared" si="5"/>
        <v>5</v>
      </c>
      <c r="H26" s="491">
        <f>'2016 Data'!I51</f>
        <v>1.7595628415300546</v>
      </c>
      <c r="I26" s="418">
        <f>'YTD 2017'!I18</f>
        <v>8</v>
      </c>
      <c r="J26" s="401">
        <f>'YTD 2016'!I18</f>
        <v>5</v>
      </c>
      <c r="K26" s="401">
        <f>'YTD 2015'!I18</f>
        <v>4</v>
      </c>
      <c r="L26" s="404">
        <f t="shared" si="6"/>
        <v>3</v>
      </c>
      <c r="M26" s="407">
        <f t="shared" si="7"/>
        <v>4</v>
      </c>
      <c r="N26" s="380"/>
    </row>
    <row r="27" spans="1:14" x14ac:dyDescent="0.25">
      <c r="A27" s="375"/>
      <c r="B27" s="406" t="s">
        <v>67</v>
      </c>
      <c r="C27" s="401">
        <f>'4 weeks ago'!H18</f>
        <v>0</v>
      </c>
      <c r="D27" s="401">
        <f>'3 weeks ago'!H18</f>
        <v>1</v>
      </c>
      <c r="E27" s="402">
        <f>'Previous Week'!H18</f>
        <v>0</v>
      </c>
      <c r="F27" s="402">
        <f>'Last Week'!H18</f>
        <v>0</v>
      </c>
      <c r="G27" s="452">
        <f t="shared" si="5"/>
        <v>1</v>
      </c>
      <c r="H27" s="491">
        <f>'2016 Data'!H51</f>
        <v>2.6775956284153004</v>
      </c>
      <c r="I27" s="418">
        <f>'YTD 2017'!H18</f>
        <v>9</v>
      </c>
      <c r="J27" s="401">
        <f>'YTD 2016'!H18</f>
        <v>16</v>
      </c>
      <c r="K27" s="401">
        <f>'YTD 2015'!H18</f>
        <v>10</v>
      </c>
      <c r="L27" s="404">
        <f>I27-J27</f>
        <v>-7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ago'!K18</f>
        <v>0</v>
      </c>
      <c r="D28" s="401">
        <f>'3 weeks ago'!K18</f>
        <v>0</v>
      </c>
      <c r="E28" s="402">
        <f>'Previous Week'!K18</f>
        <v>0</v>
      </c>
      <c r="F28" s="402">
        <f>'Last Week'!K18</f>
        <v>0</v>
      </c>
      <c r="G28" s="452">
        <f t="shared" si="5"/>
        <v>0</v>
      </c>
      <c r="H28" s="491">
        <f>'2016 Data'!K51</f>
        <v>7.650273224043716E-2</v>
      </c>
      <c r="I28" s="418">
        <f>'YTD 2017'!K18</f>
        <v>2</v>
      </c>
      <c r="J28" s="401">
        <f>'YTD 2016'!K18</f>
        <v>1</v>
      </c>
      <c r="K28" s="401">
        <f>'YTD 2015'!K18</f>
        <v>3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ago'!B18</f>
        <v>0</v>
      </c>
      <c r="D29" s="401">
        <f>'3 weeks ago'!B18</f>
        <v>0</v>
      </c>
      <c r="E29" s="402">
        <f>'Previous Week'!B18</f>
        <v>0</v>
      </c>
      <c r="F29" s="402">
        <f>'Last Week'!B18</f>
        <v>2</v>
      </c>
      <c r="G29" s="452">
        <f t="shared" si="5"/>
        <v>2</v>
      </c>
      <c r="H29" s="491">
        <f>'2016 Data'!B51</f>
        <v>2.8306010928961749</v>
      </c>
      <c r="I29" s="418">
        <f>'YTD 2017'!B18</f>
        <v>8</v>
      </c>
      <c r="J29" s="401">
        <f>'YTD 2016'!B18</f>
        <v>12</v>
      </c>
      <c r="K29" s="401">
        <f>'YTD 2015'!B18</f>
        <v>13</v>
      </c>
      <c r="L29" s="404">
        <f t="shared" si="6"/>
        <v>-4</v>
      </c>
      <c r="M29" s="407">
        <f t="shared" si="7"/>
        <v>-5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</v>
      </c>
      <c r="D30" s="420">
        <f t="shared" si="8"/>
        <v>2</v>
      </c>
      <c r="E30" s="420">
        <f t="shared" si="8"/>
        <v>4</v>
      </c>
      <c r="F30" s="421">
        <f t="shared" si="8"/>
        <v>10</v>
      </c>
      <c r="G30" s="455">
        <f t="shared" si="8"/>
        <v>17</v>
      </c>
      <c r="H30" s="494">
        <f t="shared" si="8"/>
        <v>20.196721311475411</v>
      </c>
      <c r="I30" s="422">
        <f t="shared" si="8"/>
        <v>65</v>
      </c>
      <c r="J30" s="420">
        <f t="shared" si="8"/>
        <v>89</v>
      </c>
      <c r="K30" s="420">
        <f t="shared" si="8"/>
        <v>68</v>
      </c>
      <c r="L30" s="412">
        <f>(I30-J30)/J30</f>
        <v>-0.2696629213483146</v>
      </c>
      <c r="M30" s="413">
        <f>(I30-K30)/K30</f>
        <v>-4.4117647058823532E-2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3</v>
      </c>
      <c r="E31" s="409">
        <f t="shared" si="9"/>
        <v>4</v>
      </c>
      <c r="F31" s="410">
        <f t="shared" si="9"/>
        <v>11</v>
      </c>
      <c r="G31" s="453">
        <f t="shared" si="9"/>
        <v>21</v>
      </c>
      <c r="H31" s="492">
        <f t="shared" si="9"/>
        <v>23.562841530054648</v>
      </c>
      <c r="I31" s="411">
        <f t="shared" si="9"/>
        <v>72</v>
      </c>
      <c r="J31" s="409">
        <f t="shared" si="9"/>
        <v>104</v>
      </c>
      <c r="K31" s="409">
        <f t="shared" si="9"/>
        <v>75</v>
      </c>
      <c r="L31" s="412">
        <f>(I31-J31)/J31</f>
        <v>-0.30769230769230771</v>
      </c>
      <c r="M31" s="413">
        <f>(I31-K31)/K31</f>
        <v>-0.04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Data'!R51</f>
        <v>7.6712328767123292E-2</v>
      </c>
      <c r="I41" s="443">
        <f>'YTD 2017'!S18</f>
        <v>0</v>
      </c>
      <c r="J41" s="441">
        <f>'YTD 2016'!S18</f>
        <v>1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ago'!T18</f>
        <v>1</v>
      </c>
      <c r="D42" s="447">
        <f>'3 weeks ago'!T18</f>
        <v>6</v>
      </c>
      <c r="E42" s="446">
        <f>'Previous Week'!T18</f>
        <v>0</v>
      </c>
      <c r="F42" s="460">
        <f>'Last Week'!T18</f>
        <v>3</v>
      </c>
      <c r="G42" s="452">
        <f t="shared" si="10"/>
        <v>10</v>
      </c>
      <c r="H42" s="502">
        <f>'2016 Data'!S51</f>
        <v>9.3589041095890408</v>
      </c>
      <c r="I42" s="448">
        <f>'YTD 2017'!T18</f>
        <v>32</v>
      </c>
      <c r="J42" s="482">
        <f>'YTD 2016'!T18</f>
        <v>23</v>
      </c>
      <c r="K42" s="446">
        <f>'YTD 2015'!T18</f>
        <v>34</v>
      </c>
      <c r="L42" s="412">
        <f>(I42-J42)/J42</f>
        <v>0.39130434782608697</v>
      </c>
      <c r="M42" s="413">
        <f>(I42-K42)/K42</f>
        <v>-5.8823529411764705E-2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4" priority="1" stopIfTrue="1" operator="greaterThan">
      <formula>0</formula>
    </cfRule>
  </conditionalFormatting>
  <conditionalFormatting sqref="L32:M32">
    <cfRule type="cellIs" dxfId="6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Data'!F52</f>
        <v>0.76502732240437155</v>
      </c>
      <c r="I11" s="403">
        <f>'YTD 2017'!F19</f>
        <v>0</v>
      </c>
      <c r="J11" s="401">
        <f>'YTD 2016'!F19</f>
        <v>5</v>
      </c>
      <c r="K11" s="401">
        <f>'YTD 2015'!F19</f>
        <v>1</v>
      </c>
      <c r="L11" s="404">
        <f t="shared" ref="L11:L18" si="0">I11-J11</f>
        <v>-5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8" si="2">SUM(C12:F12)</f>
        <v>0</v>
      </c>
      <c r="H12" s="491">
        <f>'2016 Data'!M52</f>
        <v>0.38251366120218577</v>
      </c>
      <c r="I12" s="403">
        <f>'YTD 2017'!M19</f>
        <v>0</v>
      </c>
      <c r="J12" s="401">
        <f>'YTD 2016'!M19</f>
        <v>2</v>
      </c>
      <c r="K12" s="401">
        <f>'YTD 2015'!M19</f>
        <v>1</v>
      </c>
      <c r="L12" s="404">
        <f t="shared" si="0"/>
        <v>-2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6">
        <f>'New Rapes'!E22</f>
        <v>0</v>
      </c>
      <c r="D13" s="556">
        <f>'New Rapes'!D22</f>
        <v>0</v>
      </c>
      <c r="E13" s="555">
        <f>'New Rapes'!C22</f>
        <v>0</v>
      </c>
      <c r="F13" s="555">
        <f>'New Rapes'!B22</f>
        <v>0</v>
      </c>
      <c r="G13" s="452">
        <f t="shared" ref="G13" si="3">SUM(C13:F13)</f>
        <v>0</v>
      </c>
      <c r="H13" s="576">
        <v>0.15342465753424658</v>
      </c>
      <c r="I13" s="557">
        <f>'New Rapes'!G22</f>
        <v>2</v>
      </c>
      <c r="J13" s="556">
        <f>'New Rapes'!H22</f>
        <v>0</v>
      </c>
      <c r="K13" s="556">
        <f>'New Rapes'!I22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ago'!D19</f>
        <v>0</v>
      </c>
      <c r="D14" s="401">
        <f>'3 weeks ago'!D19</f>
        <v>0</v>
      </c>
      <c r="E14" s="402">
        <f>'Previous Week'!D19</f>
        <v>0</v>
      </c>
      <c r="F14" s="402">
        <f>'Last Week'!D19</f>
        <v>0</v>
      </c>
      <c r="G14" s="452">
        <f t="shared" si="2"/>
        <v>0</v>
      </c>
      <c r="H14" s="491">
        <f>'2016 Data'!D52</f>
        <v>0.22950819672131148</v>
      </c>
      <c r="I14" s="403">
        <f>'YTD 2017'!D19</f>
        <v>2</v>
      </c>
      <c r="J14" s="401">
        <f>'YTD 2016'!D19</f>
        <v>1</v>
      </c>
      <c r="K14" s="401">
        <f>'YTD 2015'!D19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ago'!Q19</f>
        <v>1</v>
      </c>
      <c r="D15" s="401">
        <f>'3 weeks ago'!Q19</f>
        <v>0</v>
      </c>
      <c r="E15" s="402">
        <f>'Previous Week'!Q19</f>
        <v>0</v>
      </c>
      <c r="F15" s="402">
        <f>'Last Week'!Q19</f>
        <v>0</v>
      </c>
      <c r="G15" s="452">
        <f t="shared" si="2"/>
        <v>1</v>
      </c>
      <c r="H15" s="491">
        <f>'2016 Data'!Q52</f>
        <v>2.1420765027322406</v>
      </c>
      <c r="I15" s="403">
        <f>'YTD 2017'!Q19</f>
        <v>8</v>
      </c>
      <c r="J15" s="401">
        <f>'YTD 2016'!Q19</f>
        <v>5</v>
      </c>
      <c r="K15" s="401">
        <f>'YTD 2015'!Q19</f>
        <v>6</v>
      </c>
      <c r="L15" s="404">
        <f t="shared" si="0"/>
        <v>3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Data'!O52</f>
        <v>7.650273224043716E-2</v>
      </c>
      <c r="I16" s="403">
        <f>'YTD 2017'!O19</f>
        <v>0</v>
      </c>
      <c r="J16" s="401">
        <f>'YTD 2016'!O19</f>
        <v>1</v>
      </c>
      <c r="K16" s="401">
        <f>'YTD 2015'!O19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ago'!E19</f>
        <v>1</v>
      </c>
      <c r="D17" s="401">
        <f>'3 weeks ago'!E19</f>
        <v>2</v>
      </c>
      <c r="E17" s="402">
        <f>'Previous Week'!E19</f>
        <v>0</v>
      </c>
      <c r="F17" s="402">
        <f>'Last Week'!E19</f>
        <v>2</v>
      </c>
      <c r="G17" s="452">
        <f t="shared" si="2"/>
        <v>5</v>
      </c>
      <c r="H17" s="491">
        <f>'2016 Data'!E52</f>
        <v>0.38251366120218577</v>
      </c>
      <c r="I17" s="403">
        <f>'YTD 2017'!E19</f>
        <v>5</v>
      </c>
      <c r="J17" s="401">
        <f>'YTD 2016'!E19</f>
        <v>2</v>
      </c>
      <c r="K17" s="401">
        <f>'YTD 2015'!E19</f>
        <v>6</v>
      </c>
      <c r="L17" s="404">
        <f t="shared" si="0"/>
        <v>3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ago'!J19</f>
        <v>0</v>
      </c>
      <c r="D18" s="401">
        <f>'3 weeks ago'!J19</f>
        <v>0</v>
      </c>
      <c r="E18" s="402">
        <f>'Previous Week'!J19</f>
        <v>1</v>
      </c>
      <c r="F18" s="402">
        <f>'Last Week'!J19</f>
        <v>0</v>
      </c>
      <c r="G18" s="452">
        <f t="shared" si="2"/>
        <v>1</v>
      </c>
      <c r="H18" s="491">
        <f>'2016 Data'!J52</f>
        <v>0.84153005464480868</v>
      </c>
      <c r="I18" s="403">
        <f>'YTD 2017'!J19</f>
        <v>6</v>
      </c>
      <c r="J18" s="401">
        <f>'YTD 2016'!J19</f>
        <v>4</v>
      </c>
      <c r="K18" s="401">
        <f>'YTD 2015'!J19</f>
        <v>1</v>
      </c>
      <c r="L18" s="404">
        <f t="shared" si="0"/>
        <v>2</v>
      </c>
      <c r="M18" s="407">
        <f t="shared" si="1"/>
        <v>5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2</v>
      </c>
      <c r="E19" s="409">
        <f t="shared" si="4"/>
        <v>1</v>
      </c>
      <c r="F19" s="410">
        <f t="shared" si="4"/>
        <v>2</v>
      </c>
      <c r="G19" s="453">
        <f t="shared" si="4"/>
        <v>7</v>
      </c>
      <c r="H19" s="492">
        <f t="shared" si="4"/>
        <v>4.9730967886817874</v>
      </c>
      <c r="I19" s="411">
        <f t="shared" si="4"/>
        <v>23</v>
      </c>
      <c r="J19" s="409">
        <f t="shared" si="4"/>
        <v>20</v>
      </c>
      <c r="K19" s="409">
        <f t="shared" si="4"/>
        <v>16</v>
      </c>
      <c r="L19" s="412">
        <f>(I19-J19)/J19</f>
        <v>0.15</v>
      </c>
      <c r="M19" s="413">
        <f>(I19-K19)/K19</f>
        <v>0.4375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ago'!C19</f>
        <v>0</v>
      </c>
      <c r="D21" s="401">
        <f>'3 weeks ago'!C19</f>
        <v>0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0</v>
      </c>
      <c r="H21" s="491">
        <f>'2016 Data'!C52</f>
        <v>2.4480874316939891</v>
      </c>
      <c r="I21" s="416">
        <f>'YTD 2017'!C19</f>
        <v>2</v>
      </c>
      <c r="J21" s="401">
        <f>'YTD 2016'!C19</f>
        <v>11</v>
      </c>
      <c r="K21" s="401">
        <f>'YTD 2015'!C19</f>
        <v>13</v>
      </c>
      <c r="L21" s="404">
        <f t="shared" ref="L21:L29" si="6">I21-J21</f>
        <v>-9</v>
      </c>
      <c r="M21" s="407">
        <f>I21-K21</f>
        <v>-11</v>
      </c>
      <c r="N21" s="380"/>
    </row>
    <row r="22" spans="1:14" x14ac:dyDescent="0.25">
      <c r="A22" s="375"/>
      <c r="B22" s="417" t="s">
        <v>42</v>
      </c>
      <c r="C22" s="401">
        <f>'4 weeks ago'!N19</f>
        <v>1</v>
      </c>
      <c r="D22" s="401">
        <f>'3 weeks ago'!N19</f>
        <v>0</v>
      </c>
      <c r="E22" s="402">
        <f>'Previous Week'!N19</f>
        <v>0</v>
      </c>
      <c r="F22" s="402">
        <f>'Last Week'!N19</f>
        <v>0</v>
      </c>
      <c r="G22" s="452">
        <f t="shared" si="5"/>
        <v>1</v>
      </c>
      <c r="H22" s="491">
        <f>'2016 Data'!N52</f>
        <v>3.8251366120218582</v>
      </c>
      <c r="I22" s="418">
        <f>'YTD 2017'!N19</f>
        <v>5</v>
      </c>
      <c r="J22" s="401">
        <f>'YTD 2016'!N19</f>
        <v>10</v>
      </c>
      <c r="K22" s="401">
        <f>'YTD 2015'!N19</f>
        <v>10</v>
      </c>
      <c r="L22" s="404">
        <f t="shared" si="6"/>
        <v>-5</v>
      </c>
      <c r="M22" s="407">
        <f t="shared" ref="M22:M29" si="7">I22-K22</f>
        <v>-5</v>
      </c>
      <c r="N22" s="380"/>
    </row>
    <row r="23" spans="1:14" x14ac:dyDescent="0.25">
      <c r="A23" s="375"/>
      <c r="B23" s="417" t="s">
        <v>62</v>
      </c>
      <c r="C23" s="401">
        <f>'4 weeks ago'!L19</f>
        <v>0</v>
      </c>
      <c r="D23" s="401">
        <f>'3 weeks ago'!L19</f>
        <v>0</v>
      </c>
      <c r="E23" s="402">
        <f>'Previous Week'!L19</f>
        <v>0</v>
      </c>
      <c r="F23" s="402">
        <f>'Last Week'!L19</f>
        <v>1</v>
      </c>
      <c r="G23" s="418">
        <f t="shared" si="5"/>
        <v>1</v>
      </c>
      <c r="H23" s="491">
        <f>'2016 Data'!L52</f>
        <v>0.45901639344262296</v>
      </c>
      <c r="I23" s="418">
        <f>'YTD 2017'!L19</f>
        <v>2</v>
      </c>
      <c r="J23" s="401">
        <f>'YTD 2016'!L19</f>
        <v>3</v>
      </c>
      <c r="K23" s="401">
        <f>'YTD 2015'!L19</f>
        <v>2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ago'!P19</f>
        <v>0</v>
      </c>
      <c r="D24" s="401">
        <f>'3 weeks ago'!P19</f>
        <v>2</v>
      </c>
      <c r="E24" s="402">
        <f>'Previous Week'!P19</f>
        <v>1</v>
      </c>
      <c r="F24" s="402">
        <f>'Last Week'!P19</f>
        <v>0</v>
      </c>
      <c r="G24" s="403">
        <f t="shared" si="5"/>
        <v>3</v>
      </c>
      <c r="H24" s="491">
        <f>'2016 Data'!P52</f>
        <v>2.0655737704918034</v>
      </c>
      <c r="I24" s="418">
        <f>'YTD 2017'!P19</f>
        <v>15</v>
      </c>
      <c r="J24" s="401">
        <f>'YTD 2016'!P19</f>
        <v>9</v>
      </c>
      <c r="K24" s="401">
        <f>'YTD 2015'!P19</f>
        <v>8</v>
      </c>
      <c r="L24" s="404">
        <f t="shared" si="6"/>
        <v>6</v>
      </c>
      <c r="M24" s="407">
        <f t="shared" si="7"/>
        <v>7</v>
      </c>
      <c r="N24" s="380"/>
    </row>
    <row r="25" spans="1:14" x14ac:dyDescent="0.25">
      <c r="A25" s="375"/>
      <c r="B25" s="406" t="s">
        <v>7</v>
      </c>
      <c r="C25" s="401">
        <f>'4 weeks ago'!G19</f>
        <v>1</v>
      </c>
      <c r="D25" s="401">
        <f>'3 weeks ago'!G19</f>
        <v>1</v>
      </c>
      <c r="E25" s="402">
        <f>'Previous Week'!G19</f>
        <v>2</v>
      </c>
      <c r="F25" s="402">
        <f>'Last Week'!G19</f>
        <v>3</v>
      </c>
      <c r="G25" s="403">
        <f t="shared" si="5"/>
        <v>7</v>
      </c>
      <c r="H25" s="491">
        <f>'2016 Data'!G52</f>
        <v>8.109289617486338</v>
      </c>
      <c r="I25" s="418">
        <f>'YTD 2017'!G19</f>
        <v>45</v>
      </c>
      <c r="J25" s="401">
        <f>'YTD 2016'!G19</f>
        <v>37</v>
      </c>
      <c r="K25" s="401">
        <f>'YTD 2015'!G19</f>
        <v>29</v>
      </c>
      <c r="L25" s="404">
        <f t="shared" si="6"/>
        <v>8</v>
      </c>
      <c r="M25" s="407">
        <f t="shared" si="7"/>
        <v>16</v>
      </c>
      <c r="N25" s="380"/>
    </row>
    <row r="26" spans="1:14" x14ac:dyDescent="0.25">
      <c r="A26" s="375"/>
      <c r="B26" s="406" t="s">
        <v>68</v>
      </c>
      <c r="C26" s="401">
        <f>'4 weeks ago'!I19</f>
        <v>2</v>
      </c>
      <c r="D26" s="401">
        <f>'3 weeks ago'!I19</f>
        <v>1</v>
      </c>
      <c r="E26" s="402">
        <f>'Previous Week'!I19</f>
        <v>2</v>
      </c>
      <c r="F26" s="402">
        <f>'Last Week'!I19</f>
        <v>2</v>
      </c>
      <c r="G26" s="452">
        <f t="shared" si="5"/>
        <v>7</v>
      </c>
      <c r="H26" s="491">
        <f>'2016 Data'!I52</f>
        <v>6.0437158469945356</v>
      </c>
      <c r="I26" s="418">
        <f>'YTD 2017'!I19</f>
        <v>24</v>
      </c>
      <c r="J26" s="401">
        <f>'YTD 2016'!I19</f>
        <v>25</v>
      </c>
      <c r="K26" s="401">
        <f>'YTD 2015'!I19</f>
        <v>16</v>
      </c>
      <c r="L26" s="404">
        <f t="shared" si="6"/>
        <v>-1</v>
      </c>
      <c r="M26" s="407">
        <f t="shared" si="7"/>
        <v>8</v>
      </c>
      <c r="N26" s="380"/>
    </row>
    <row r="27" spans="1:14" x14ac:dyDescent="0.25">
      <c r="A27" s="375"/>
      <c r="B27" s="406" t="s">
        <v>67</v>
      </c>
      <c r="C27" s="401">
        <f>'4 weeks ago'!H19</f>
        <v>0</v>
      </c>
      <c r="D27" s="401">
        <f>'3 weeks ago'!H19</f>
        <v>1</v>
      </c>
      <c r="E27" s="402">
        <f>'Previous Week'!H19</f>
        <v>1</v>
      </c>
      <c r="F27" s="402">
        <f>'Last Week'!H19</f>
        <v>0</v>
      </c>
      <c r="G27" s="452">
        <f t="shared" si="5"/>
        <v>2</v>
      </c>
      <c r="H27" s="491">
        <f>'2016 Data'!H52</f>
        <v>4.8196721311475406</v>
      </c>
      <c r="I27" s="418">
        <f>'YTD 2017'!H19</f>
        <v>6</v>
      </c>
      <c r="J27" s="401">
        <f>'YTD 2016'!H19</f>
        <v>25</v>
      </c>
      <c r="K27" s="401">
        <f>'YTD 2015'!H19</f>
        <v>8</v>
      </c>
      <c r="L27" s="404">
        <f>I27-J27</f>
        <v>-19</v>
      </c>
      <c r="M27" s="407">
        <f>I27-K27</f>
        <v>-2</v>
      </c>
      <c r="N27" s="380"/>
    </row>
    <row r="28" spans="1:14" x14ac:dyDescent="0.25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0</v>
      </c>
      <c r="F28" s="402">
        <f>'Last Week'!K19</f>
        <v>0</v>
      </c>
      <c r="G28" s="452">
        <f t="shared" si="5"/>
        <v>0</v>
      </c>
      <c r="H28" s="491">
        <f>'2016 Data'!K52</f>
        <v>0.45901639344262296</v>
      </c>
      <c r="I28" s="418">
        <f>'YTD 2017'!K19</f>
        <v>2</v>
      </c>
      <c r="J28" s="401">
        <f>'YTD 2016'!K19</f>
        <v>3</v>
      </c>
      <c r="K28" s="401">
        <f>'YTD 2015'!K19</f>
        <v>4</v>
      </c>
      <c r="L28" s="404">
        <f t="shared" si="6"/>
        <v>-1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ago'!B19</f>
        <v>0</v>
      </c>
      <c r="D29" s="401">
        <f>'3 weeks ago'!B19</f>
        <v>0</v>
      </c>
      <c r="E29" s="402">
        <f>'Previous Week'!B19</f>
        <v>0</v>
      </c>
      <c r="F29" s="402">
        <f>'Last Week'!B19</f>
        <v>1</v>
      </c>
      <c r="G29" s="452">
        <f t="shared" si="5"/>
        <v>1</v>
      </c>
      <c r="H29" s="491">
        <f>'2016 Data'!B52</f>
        <v>3.442622950819672</v>
      </c>
      <c r="I29" s="418">
        <f>'YTD 2017'!B19</f>
        <v>9</v>
      </c>
      <c r="J29" s="401">
        <f>'YTD 2016'!B19</f>
        <v>16</v>
      </c>
      <c r="K29" s="401">
        <f>'YTD 2015'!B19</f>
        <v>17</v>
      </c>
      <c r="L29" s="404">
        <f t="shared" si="6"/>
        <v>-7</v>
      </c>
      <c r="M29" s="407">
        <f t="shared" si="7"/>
        <v>-8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5</v>
      </c>
      <c r="E30" s="420">
        <f t="shared" si="8"/>
        <v>6</v>
      </c>
      <c r="F30" s="421">
        <f t="shared" si="8"/>
        <v>7</v>
      </c>
      <c r="G30" s="455">
        <f t="shared" si="8"/>
        <v>22</v>
      </c>
      <c r="H30" s="494">
        <f t="shared" si="8"/>
        <v>31.672131147540984</v>
      </c>
      <c r="I30" s="422">
        <f t="shared" si="8"/>
        <v>110</v>
      </c>
      <c r="J30" s="420">
        <f t="shared" si="8"/>
        <v>139</v>
      </c>
      <c r="K30" s="420">
        <f t="shared" si="8"/>
        <v>107</v>
      </c>
      <c r="L30" s="412">
        <f>(I30-J30)/J30</f>
        <v>-0.20863309352517986</v>
      </c>
      <c r="M30" s="413">
        <f>(I30-K30)/K30</f>
        <v>2.8037383177570093E-2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7</v>
      </c>
      <c r="E31" s="409">
        <f t="shared" si="9"/>
        <v>7</v>
      </c>
      <c r="F31" s="410">
        <f t="shared" si="9"/>
        <v>9</v>
      </c>
      <c r="G31" s="453">
        <f t="shared" si="9"/>
        <v>29</v>
      </c>
      <c r="H31" s="492">
        <f t="shared" si="9"/>
        <v>36.645227936222774</v>
      </c>
      <c r="I31" s="411">
        <f t="shared" si="9"/>
        <v>133</v>
      </c>
      <c r="J31" s="409">
        <f t="shared" si="9"/>
        <v>159</v>
      </c>
      <c r="K31" s="409">
        <f t="shared" si="9"/>
        <v>123</v>
      </c>
      <c r="L31" s="412">
        <f>(I31-J31)/J31</f>
        <v>-0.16352201257861634</v>
      </c>
      <c r="M31" s="413">
        <f>(I31-K31)/K31</f>
        <v>8.1300813008130079E-2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ago'!S19</f>
        <v>1</v>
      </c>
      <c r="D41" s="441">
        <f>'3 weeks ago'!S19</f>
        <v>2</v>
      </c>
      <c r="E41" s="441">
        <f>'Previous Week'!S19</f>
        <v>0</v>
      </c>
      <c r="F41" s="442">
        <f>'Last Week'!S12</f>
        <v>0</v>
      </c>
      <c r="G41" s="452">
        <f t="shared" ref="G41:G42" si="10">SUM(C41:F41)</f>
        <v>3</v>
      </c>
      <c r="H41" s="501">
        <f>'2016 Data'!R52</f>
        <v>5.4465753424657537</v>
      </c>
      <c r="I41" s="443">
        <f>'YTD 2017'!S19</f>
        <v>25</v>
      </c>
      <c r="J41" s="441">
        <f>'YTD 2016'!S19</f>
        <v>33</v>
      </c>
      <c r="K41" s="441">
        <f>'YTD 2015'!S19</f>
        <v>14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ago'!T19</f>
        <v>3</v>
      </c>
      <c r="D42" s="447">
        <f>'3 weeks ago'!T19</f>
        <v>5</v>
      </c>
      <c r="E42" s="446">
        <f>'Previous Week'!T19</f>
        <v>0</v>
      </c>
      <c r="F42" s="460">
        <f>'Last Week'!T19</f>
        <v>5</v>
      </c>
      <c r="G42" s="452">
        <f t="shared" si="10"/>
        <v>13</v>
      </c>
      <c r="H42" s="502">
        <f>'2016 Data'!S52</f>
        <v>12.81095890410959</v>
      </c>
      <c r="I42" s="448">
        <f>'YTD 2017'!T19</f>
        <v>49</v>
      </c>
      <c r="J42" s="482">
        <f>'YTD 2016'!T19</f>
        <v>78</v>
      </c>
      <c r="K42" s="446">
        <f>'YTD 2015'!T19</f>
        <v>51</v>
      </c>
      <c r="L42" s="412">
        <f>(I42-J42)/J42</f>
        <v>-0.37179487179487181</v>
      </c>
      <c r="M42" s="413">
        <f>(I42-K42)/K42</f>
        <v>-3.9215686274509803E-2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2" priority="1" stopIfTrue="1" operator="greaterThan">
      <formula>0</formula>
    </cfRule>
  </conditionalFormatting>
  <conditionalFormatting sqref="L32:M32">
    <cfRule type="cellIs" dxfId="6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Data'!F53</f>
        <v>0</v>
      </c>
      <c r="I11" s="403">
        <f>'YTD 2017'!F20</f>
        <v>0</v>
      </c>
      <c r="J11" s="401">
        <f>'YTD 2016'!F20</f>
        <v>0</v>
      </c>
      <c r="K11" s="401">
        <f>'YTD 2015'!F20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ago'!M20</f>
        <v>1</v>
      </c>
      <c r="D12" s="401">
        <f>'3 weeks ago'!M20</f>
        <v>0</v>
      </c>
      <c r="E12" s="402">
        <f>'Previous Week'!M20</f>
        <v>1</v>
      </c>
      <c r="F12" s="402">
        <f>'Last Week'!M20</f>
        <v>0</v>
      </c>
      <c r="G12" s="452">
        <f t="shared" ref="G12:G18" si="2">SUM(C12:F12)</f>
        <v>2</v>
      </c>
      <c r="H12" s="491">
        <f>'2016 Data'!M53</f>
        <v>7.650273224043716E-2</v>
      </c>
      <c r="I12" s="403">
        <f>'YTD 2017'!M20</f>
        <v>2</v>
      </c>
      <c r="J12" s="401">
        <f>'YTD 2016'!M20</f>
        <v>0</v>
      </c>
      <c r="K12" s="401">
        <f>'YTD 2015'!M20</f>
        <v>0</v>
      </c>
      <c r="L12" s="404">
        <f t="shared" si="0"/>
        <v>2</v>
      </c>
      <c r="M12" s="407">
        <f t="shared" si="1"/>
        <v>2</v>
      </c>
      <c r="N12" s="380"/>
    </row>
    <row r="13" spans="1:14" x14ac:dyDescent="0.25">
      <c r="A13" s="375"/>
      <c r="B13" s="269" t="s">
        <v>200</v>
      </c>
      <c r="C13" s="556">
        <f>'New Rapes'!E23</f>
        <v>0</v>
      </c>
      <c r="D13" s="556">
        <f>'New Rapes'!D23</f>
        <v>0</v>
      </c>
      <c r="E13" s="555">
        <f>'New Rapes'!C23</f>
        <v>0</v>
      </c>
      <c r="F13" s="555">
        <f>'New Rapes'!B23</f>
        <v>0</v>
      </c>
      <c r="G13" s="452">
        <f t="shared" ref="G13" si="3">SUM(C13:F13)</f>
        <v>0</v>
      </c>
      <c r="H13" s="576">
        <v>0.23013698630136983</v>
      </c>
      <c r="I13" s="557">
        <f>'New Rapes'!G23</f>
        <v>1</v>
      </c>
      <c r="J13" s="556">
        <f>'New Rapes'!H23</f>
        <v>1</v>
      </c>
      <c r="K13" s="556">
        <f>'New Rapes'!I23</f>
        <v>3</v>
      </c>
      <c r="L13" s="404">
        <f t="shared" si="0"/>
        <v>0</v>
      </c>
      <c r="M13" s="407">
        <f t="shared" si="1"/>
        <v>-2</v>
      </c>
      <c r="N13" s="380"/>
    </row>
    <row r="14" spans="1:14" x14ac:dyDescent="0.25">
      <c r="A14" s="375"/>
      <c r="B14" s="406" t="s">
        <v>29</v>
      </c>
      <c r="C14" s="401">
        <f>'4 weeks ago'!D20</f>
        <v>1</v>
      </c>
      <c r="D14" s="401">
        <f>'3 weeks ago'!D20</f>
        <v>0</v>
      </c>
      <c r="E14" s="402">
        <f>'Previous Week'!D20</f>
        <v>0</v>
      </c>
      <c r="F14" s="402">
        <f>'Last Week'!D20</f>
        <v>0</v>
      </c>
      <c r="G14" s="452">
        <f t="shared" si="2"/>
        <v>1</v>
      </c>
      <c r="H14" s="491">
        <f>'2016 Data'!D53</f>
        <v>0.22950819672131148</v>
      </c>
      <c r="I14" s="403">
        <f>'YTD 2017'!D20</f>
        <v>3</v>
      </c>
      <c r="J14" s="401">
        <f>'YTD 2016'!D20</f>
        <v>0</v>
      </c>
      <c r="K14" s="401">
        <f>'YTD 2015'!D20</f>
        <v>1</v>
      </c>
      <c r="L14" s="404">
        <f t="shared" si="0"/>
        <v>3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ago'!Q20</f>
        <v>0</v>
      </c>
      <c r="D15" s="401">
        <f>'3 weeks ago'!Q20</f>
        <v>0</v>
      </c>
      <c r="E15" s="402">
        <f>'Previous Week'!Q20</f>
        <v>0</v>
      </c>
      <c r="F15" s="402">
        <f>'Last Week'!Q20</f>
        <v>2</v>
      </c>
      <c r="G15" s="452">
        <f t="shared" si="2"/>
        <v>2</v>
      </c>
      <c r="H15" s="491">
        <f>'2016 Data'!Q53</f>
        <v>0.76502732240437155</v>
      </c>
      <c r="I15" s="403">
        <f>'YTD 2017'!Q20</f>
        <v>3</v>
      </c>
      <c r="J15" s="401">
        <f>'YTD 2016'!Q20</f>
        <v>1</v>
      </c>
      <c r="K15" s="401">
        <f>'YTD 2015'!Q20</f>
        <v>4</v>
      </c>
      <c r="L15" s="404">
        <f t="shared" si="0"/>
        <v>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Data'!O53</f>
        <v>0.15300546448087432</v>
      </c>
      <c r="I16" s="403">
        <f>'YTD 2017'!O20</f>
        <v>0</v>
      </c>
      <c r="J16" s="401">
        <f>'YTD 2016'!O20</f>
        <v>0</v>
      </c>
      <c r="K16" s="401">
        <f>'YTD 2015'!O20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ago'!E20</f>
        <v>0</v>
      </c>
      <c r="D17" s="401">
        <f>'3 weeks ago'!E20</f>
        <v>1</v>
      </c>
      <c r="E17" s="402">
        <f>'Previous Week'!E20</f>
        <v>0</v>
      </c>
      <c r="F17" s="402">
        <f>'Last Week'!E20</f>
        <v>1</v>
      </c>
      <c r="G17" s="452">
        <f t="shared" si="2"/>
        <v>2</v>
      </c>
      <c r="H17" s="491">
        <f>'2016 Data'!E53</f>
        <v>0.45901639344262296</v>
      </c>
      <c r="I17" s="403">
        <f>'YTD 2017'!E20</f>
        <v>5</v>
      </c>
      <c r="J17" s="401">
        <f>'YTD 2016'!E20</f>
        <v>1</v>
      </c>
      <c r="K17" s="401">
        <f>'YTD 2015'!E20</f>
        <v>4</v>
      </c>
      <c r="L17" s="404">
        <f t="shared" si="0"/>
        <v>4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ago'!J20</f>
        <v>0</v>
      </c>
      <c r="D18" s="401">
        <f>'3 weeks ago'!J20</f>
        <v>0</v>
      </c>
      <c r="E18" s="402">
        <f>'Previous Week'!J20</f>
        <v>0</v>
      </c>
      <c r="F18" s="402">
        <f>'Last Week'!J20</f>
        <v>0</v>
      </c>
      <c r="G18" s="452">
        <f t="shared" si="2"/>
        <v>0</v>
      </c>
      <c r="H18" s="491">
        <f>'2016 Data'!J53</f>
        <v>0.45901639344262296</v>
      </c>
      <c r="I18" s="403">
        <f>'YTD 2017'!J20</f>
        <v>3</v>
      </c>
      <c r="J18" s="401">
        <f>'YTD 2016'!J20</f>
        <v>5</v>
      </c>
      <c r="K18" s="401">
        <f>'YTD 2015'!J20</f>
        <v>0</v>
      </c>
      <c r="L18" s="404">
        <f t="shared" si="0"/>
        <v>-2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1</v>
      </c>
      <c r="F19" s="410">
        <f t="shared" si="4"/>
        <v>3</v>
      </c>
      <c r="G19" s="453">
        <f t="shared" si="4"/>
        <v>7</v>
      </c>
      <c r="H19" s="492">
        <f t="shared" si="4"/>
        <v>2.37221348903361</v>
      </c>
      <c r="I19" s="411">
        <f t="shared" si="4"/>
        <v>17</v>
      </c>
      <c r="J19" s="409">
        <f t="shared" si="4"/>
        <v>8</v>
      </c>
      <c r="K19" s="409">
        <f t="shared" si="4"/>
        <v>12</v>
      </c>
      <c r="L19" s="412">
        <f>(I19-J19)/J19</f>
        <v>1.125</v>
      </c>
      <c r="M19" s="413">
        <f>(I19-K19)/K19</f>
        <v>0.41666666666666669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Data'!C53</f>
        <v>1.3770491803278688</v>
      </c>
      <c r="I21" s="416">
        <f>'YTD 2017'!C20</f>
        <v>0</v>
      </c>
      <c r="J21" s="401">
        <f>'YTD 2016'!C20</f>
        <v>4</v>
      </c>
      <c r="K21" s="401">
        <f>'YTD 2015'!C20</f>
        <v>3</v>
      </c>
      <c r="L21" s="404">
        <f t="shared" ref="L21:L29" si="6">I21-J21</f>
        <v>-4</v>
      </c>
      <c r="M21" s="407">
        <f>I21-K21</f>
        <v>-3</v>
      </c>
      <c r="N21" s="380"/>
    </row>
    <row r="22" spans="1:14" x14ac:dyDescent="0.25">
      <c r="A22" s="375"/>
      <c r="B22" s="417" t="s">
        <v>42</v>
      </c>
      <c r="C22" s="401">
        <f>'4 weeks ago'!N20</f>
        <v>0</v>
      </c>
      <c r="D22" s="401">
        <f>'3 weeks ago'!N20</f>
        <v>0</v>
      </c>
      <c r="E22" s="402">
        <f>'Previous Week'!N20</f>
        <v>1</v>
      </c>
      <c r="F22" s="402">
        <f>'Last Week'!N20</f>
        <v>0</v>
      </c>
      <c r="G22" s="452">
        <f t="shared" si="5"/>
        <v>1</v>
      </c>
      <c r="H22" s="491">
        <f>'2016 Data'!N53</f>
        <v>4.360655737704918</v>
      </c>
      <c r="I22" s="418">
        <f>'YTD 2017'!N20</f>
        <v>5</v>
      </c>
      <c r="J22" s="401">
        <f>'YTD 2016'!N20</f>
        <v>8</v>
      </c>
      <c r="K22" s="401">
        <f>'YTD 2015'!N20</f>
        <v>10</v>
      </c>
      <c r="L22" s="404">
        <f t="shared" si="6"/>
        <v>-3</v>
      </c>
      <c r="M22" s="407">
        <f t="shared" ref="M22:M29" si="7">I22-K22</f>
        <v>-5</v>
      </c>
      <c r="N22" s="380"/>
    </row>
    <row r="23" spans="1:14" x14ac:dyDescent="0.25">
      <c r="A23" s="375"/>
      <c r="B23" s="417" t="s">
        <v>62</v>
      </c>
      <c r="C23" s="401">
        <f>'4 weeks ago'!L20</f>
        <v>0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0</v>
      </c>
      <c r="H23" s="491">
        <f>'2016 Data'!L53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25">
      <c r="A24" s="375"/>
      <c r="B24" s="417" t="s">
        <v>33</v>
      </c>
      <c r="C24" s="401">
        <f>'4 weeks ago'!P20</f>
        <v>1</v>
      </c>
      <c r="D24" s="401">
        <f>'3 weeks ago'!P20</f>
        <v>1</v>
      </c>
      <c r="E24" s="402">
        <f>'Previous Week'!P20</f>
        <v>0</v>
      </c>
      <c r="F24" s="402">
        <f>'Last Week'!P20</f>
        <v>0</v>
      </c>
      <c r="G24" s="403">
        <f t="shared" si="5"/>
        <v>2</v>
      </c>
      <c r="H24" s="491">
        <f>'2016 Data'!P53</f>
        <v>4.360655737704918</v>
      </c>
      <c r="I24" s="418">
        <f>'YTD 2017'!P20</f>
        <v>25</v>
      </c>
      <c r="J24" s="401">
        <f>'YTD 2016'!P20</f>
        <v>19</v>
      </c>
      <c r="K24" s="401">
        <f>'YTD 2015'!P20</f>
        <v>8</v>
      </c>
      <c r="L24" s="404">
        <f t="shared" si="6"/>
        <v>6</v>
      </c>
      <c r="M24" s="407">
        <f t="shared" si="7"/>
        <v>17</v>
      </c>
      <c r="N24" s="380"/>
    </row>
    <row r="25" spans="1:14" x14ac:dyDescent="0.25">
      <c r="A25" s="375"/>
      <c r="B25" s="406" t="s">
        <v>7</v>
      </c>
      <c r="C25" s="401">
        <f>'4 weeks ago'!G20</f>
        <v>2</v>
      </c>
      <c r="D25" s="401">
        <f>'3 weeks ago'!G20</f>
        <v>1</v>
      </c>
      <c r="E25" s="402">
        <f>'Previous Week'!G20</f>
        <v>7</v>
      </c>
      <c r="F25" s="402">
        <f>'Last Week'!G20</f>
        <v>3</v>
      </c>
      <c r="G25" s="403">
        <f t="shared" si="5"/>
        <v>13</v>
      </c>
      <c r="H25" s="491">
        <f>'2016 Data'!G53</f>
        <v>7.0382513661202184</v>
      </c>
      <c r="I25" s="418">
        <f>'YTD 2017'!G20</f>
        <v>33</v>
      </c>
      <c r="J25" s="401">
        <f>'YTD 2016'!G20</f>
        <v>26</v>
      </c>
      <c r="K25" s="401">
        <f>'YTD 2015'!G20</f>
        <v>29</v>
      </c>
      <c r="L25" s="404">
        <f t="shared" si="6"/>
        <v>7</v>
      </c>
      <c r="M25" s="407">
        <f t="shared" si="7"/>
        <v>4</v>
      </c>
      <c r="N25" s="380"/>
    </row>
    <row r="26" spans="1:14" x14ac:dyDescent="0.25">
      <c r="A26" s="375"/>
      <c r="B26" s="406" t="s">
        <v>68</v>
      </c>
      <c r="C26" s="401">
        <f>'4 weeks ago'!I20</f>
        <v>1</v>
      </c>
      <c r="D26" s="401">
        <f>'3 weeks ago'!I20</f>
        <v>0</v>
      </c>
      <c r="E26" s="402">
        <f>'Previous Week'!I20</f>
        <v>4</v>
      </c>
      <c r="F26" s="402">
        <f>'Last Week'!I20</f>
        <v>0</v>
      </c>
      <c r="G26" s="452">
        <f t="shared" si="5"/>
        <v>5</v>
      </c>
      <c r="H26" s="491">
        <f>'2016 Data'!I53</f>
        <v>2.6010928961748636</v>
      </c>
      <c r="I26" s="418">
        <f>'YTD 2017'!I20</f>
        <v>19</v>
      </c>
      <c r="J26" s="401">
        <f>'YTD 2016'!I20</f>
        <v>4</v>
      </c>
      <c r="K26" s="401">
        <f>'YTD 2015'!I20</f>
        <v>14</v>
      </c>
      <c r="L26" s="404">
        <f t="shared" si="6"/>
        <v>15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ago'!H20</f>
        <v>1</v>
      </c>
      <c r="D27" s="401">
        <f>'3 weeks ago'!H20</f>
        <v>0</v>
      </c>
      <c r="E27" s="402">
        <f>'Previous Week'!H20</f>
        <v>3</v>
      </c>
      <c r="F27" s="402">
        <f>'Last Week'!H20</f>
        <v>1</v>
      </c>
      <c r="G27" s="452">
        <f t="shared" si="5"/>
        <v>5</v>
      </c>
      <c r="H27" s="491">
        <f>'2016 Data'!H53</f>
        <v>5.278688524590164</v>
      </c>
      <c r="I27" s="418">
        <f>'YTD 2017'!H20</f>
        <v>16</v>
      </c>
      <c r="J27" s="401">
        <f>'YTD 2016'!H20</f>
        <v>24</v>
      </c>
      <c r="K27" s="401">
        <f>'YTD 2015'!H20</f>
        <v>10</v>
      </c>
      <c r="L27" s="404">
        <f>I27-J27</f>
        <v>-8</v>
      </c>
      <c r="M27" s="407">
        <f>I27-K27</f>
        <v>6</v>
      </c>
      <c r="N27" s="380"/>
    </row>
    <row r="28" spans="1:14" x14ac:dyDescent="0.25">
      <c r="A28" s="375"/>
      <c r="B28" s="406" t="s">
        <v>34</v>
      </c>
      <c r="C28" s="401">
        <f>'4 weeks ago'!K20</f>
        <v>1</v>
      </c>
      <c r="D28" s="401">
        <f>'3 weeks ago'!K20</f>
        <v>0</v>
      </c>
      <c r="E28" s="402">
        <f>'Previous Week'!K20</f>
        <v>0</v>
      </c>
      <c r="F28" s="402">
        <f>'Last Week'!K20</f>
        <v>0</v>
      </c>
      <c r="G28" s="452">
        <f t="shared" si="5"/>
        <v>1</v>
      </c>
      <c r="H28" s="491">
        <f>'2016 Data'!K53</f>
        <v>0.30601092896174864</v>
      </c>
      <c r="I28" s="418">
        <f>'YTD 2017'!K20</f>
        <v>3</v>
      </c>
      <c r="J28" s="401">
        <f>'YTD 2016'!K20</f>
        <v>1</v>
      </c>
      <c r="K28" s="401">
        <f>'YTD 2015'!K20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ago'!B20</f>
        <v>0</v>
      </c>
      <c r="D29" s="401">
        <f>'3 weeks ago'!B20</f>
        <v>2</v>
      </c>
      <c r="E29" s="402">
        <f>'Previous Week'!B20</f>
        <v>0</v>
      </c>
      <c r="F29" s="402">
        <f>'Last Week'!B20</f>
        <v>0</v>
      </c>
      <c r="G29" s="452">
        <f t="shared" si="5"/>
        <v>2</v>
      </c>
      <c r="H29" s="491">
        <f>'2016 Data'!B53</f>
        <v>3.3661202185792347</v>
      </c>
      <c r="I29" s="418">
        <f>'YTD 2017'!B20</f>
        <v>11</v>
      </c>
      <c r="J29" s="401">
        <f>'YTD 2016'!B20</f>
        <v>17</v>
      </c>
      <c r="K29" s="401">
        <f>'YTD 2015'!B20</f>
        <v>11</v>
      </c>
      <c r="L29" s="404">
        <f t="shared" si="6"/>
        <v>-6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6</v>
      </c>
      <c r="D30" s="420">
        <f t="shared" si="8"/>
        <v>4</v>
      </c>
      <c r="E30" s="420">
        <f t="shared" si="8"/>
        <v>15</v>
      </c>
      <c r="F30" s="421">
        <f t="shared" si="8"/>
        <v>4</v>
      </c>
      <c r="G30" s="455">
        <f t="shared" si="8"/>
        <v>29</v>
      </c>
      <c r="H30" s="494">
        <f t="shared" si="8"/>
        <v>28.765027322404372</v>
      </c>
      <c r="I30" s="422">
        <f t="shared" si="8"/>
        <v>114</v>
      </c>
      <c r="J30" s="420">
        <f t="shared" si="8"/>
        <v>103</v>
      </c>
      <c r="K30" s="420">
        <f t="shared" si="8"/>
        <v>87</v>
      </c>
      <c r="L30" s="412">
        <f>(I30-J30)/J30</f>
        <v>0.10679611650485436</v>
      </c>
      <c r="M30" s="413">
        <f>(I30-K30)/K30</f>
        <v>0.31034482758620691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5</v>
      </c>
      <c r="E31" s="409">
        <f t="shared" si="9"/>
        <v>16</v>
      </c>
      <c r="F31" s="410">
        <f t="shared" si="9"/>
        <v>7</v>
      </c>
      <c r="G31" s="453">
        <f t="shared" si="9"/>
        <v>36</v>
      </c>
      <c r="H31" s="492">
        <f t="shared" si="9"/>
        <v>31.13724081143798</v>
      </c>
      <c r="I31" s="411">
        <f t="shared" si="9"/>
        <v>131</v>
      </c>
      <c r="J31" s="409">
        <f t="shared" si="9"/>
        <v>111</v>
      </c>
      <c r="K31" s="409">
        <f t="shared" si="9"/>
        <v>99</v>
      </c>
      <c r="L31" s="412">
        <f>(I31-J31)/J31</f>
        <v>0.18018018018018017</v>
      </c>
      <c r="M31" s="413">
        <f>(I31-K31)/K31</f>
        <v>0.32323232323232326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0</v>
      </c>
      <c r="G41" s="452">
        <f t="shared" ref="G41:G42" si="10">SUM(C41:F41)</f>
        <v>0</v>
      </c>
      <c r="H41" s="501">
        <f>'2016 Data'!R53</f>
        <v>0.15342465753424658</v>
      </c>
      <c r="I41" s="443">
        <f>'YTD 2017'!S20</f>
        <v>0</v>
      </c>
      <c r="J41" s="441">
        <f>'YTD 2016'!S20</f>
        <v>1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ago'!T20</f>
        <v>4</v>
      </c>
      <c r="D42" s="447">
        <f>'3 weeks ago'!T20</f>
        <v>7</v>
      </c>
      <c r="E42" s="446">
        <f>'Previous Week'!T20</f>
        <v>1</v>
      </c>
      <c r="F42" s="460">
        <f>'Last Week'!T20</f>
        <v>4</v>
      </c>
      <c r="G42" s="452">
        <f t="shared" si="10"/>
        <v>16</v>
      </c>
      <c r="H42" s="502">
        <f>'2016 Data'!S53</f>
        <v>7.3643835616438347</v>
      </c>
      <c r="I42" s="448">
        <f>'YTD 2017'!T20</f>
        <v>36</v>
      </c>
      <c r="J42" s="482">
        <f>'YTD 2016'!T20</f>
        <v>30</v>
      </c>
      <c r="K42" s="446">
        <f>'YTD 2015'!T20</f>
        <v>39</v>
      </c>
      <c r="L42" s="412">
        <f>(I42-J42)/J42</f>
        <v>0.2</v>
      </c>
      <c r="M42" s="413">
        <f>(I42-K42)/K42</f>
        <v>-7.6923076923076927E-2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0" priority="1" stopIfTrue="1" operator="greaterThan">
      <formula>0</formula>
    </cfRule>
  </conditionalFormatting>
  <conditionalFormatting sqref="L32:M32">
    <cfRule type="cellIs" dxfId="5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3</v>
      </c>
      <c r="G11" s="452">
        <f>SUM(C11:F11)</f>
        <v>3</v>
      </c>
      <c r="H11" s="491">
        <f>'2016 Data'!F54</f>
        <v>0.45901639344262296</v>
      </c>
      <c r="I11" s="403">
        <f>'YTD 2017'!F21</f>
        <v>4</v>
      </c>
      <c r="J11" s="401">
        <f>'YTD 2016'!F21</f>
        <v>3</v>
      </c>
      <c r="K11" s="401">
        <f>'YTD 2015'!F21</f>
        <v>3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Data'!M54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6">
        <f>'New Rapes'!E24</f>
        <v>0</v>
      </c>
      <c r="D13" s="556">
        <f>'New Rapes'!D24</f>
        <v>0</v>
      </c>
      <c r="E13" s="555">
        <f>'New Rapes'!C24</f>
        <v>0</v>
      </c>
      <c r="F13" s="555">
        <f>'New Rapes'!B24</f>
        <v>0</v>
      </c>
      <c r="G13" s="452">
        <f t="shared" ref="G13" si="3">SUM(C13:F13)</f>
        <v>0</v>
      </c>
      <c r="H13" s="576">
        <v>0.23013698630136983</v>
      </c>
      <c r="I13" s="557">
        <f>'New Rapes'!G24</f>
        <v>2</v>
      </c>
      <c r="J13" s="556">
        <f>'New Rapes'!H24</f>
        <v>1</v>
      </c>
      <c r="K13" s="556">
        <f>'New Rapes'!I24</f>
        <v>1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Data'!D54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ago'!Q21</f>
        <v>0</v>
      </c>
      <c r="D15" s="401">
        <f>'3 weeks ago'!Q21</f>
        <v>0</v>
      </c>
      <c r="E15" s="402">
        <f>'Previous Week'!Q21</f>
        <v>1</v>
      </c>
      <c r="F15" s="402">
        <f>'Last Week'!Q21</f>
        <v>0</v>
      </c>
      <c r="G15" s="452">
        <f t="shared" si="2"/>
        <v>1</v>
      </c>
      <c r="H15" s="491">
        <f>'2016 Data'!Q54</f>
        <v>1.4535519125683061</v>
      </c>
      <c r="I15" s="403">
        <f>'YTD 2017'!Q21</f>
        <v>1</v>
      </c>
      <c r="J15" s="401">
        <f>'YTD 2016'!Q21</f>
        <v>5</v>
      </c>
      <c r="K15" s="401">
        <f>'YTD 2015'!Q21</f>
        <v>6</v>
      </c>
      <c r="L15" s="404">
        <f t="shared" si="0"/>
        <v>-4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ago'!O21</f>
        <v>0</v>
      </c>
      <c r="D16" s="401">
        <f>'3 weeks ago'!O21</f>
        <v>0</v>
      </c>
      <c r="E16" s="402">
        <f>'Previous Week'!O21</f>
        <v>1</v>
      </c>
      <c r="F16" s="402">
        <f>'Last Week'!O21</f>
        <v>0</v>
      </c>
      <c r="G16" s="452">
        <f t="shared" si="2"/>
        <v>1</v>
      </c>
      <c r="H16" s="491">
        <f>'2016 Data'!O54</f>
        <v>0.38251366120218577</v>
      </c>
      <c r="I16" s="403">
        <f>'YTD 2017'!O21</f>
        <v>2</v>
      </c>
      <c r="J16" s="401">
        <f>'YTD 2016'!O21</f>
        <v>2</v>
      </c>
      <c r="K16" s="401">
        <f>'YTD 2015'!O21</f>
        <v>0</v>
      </c>
      <c r="L16" s="404">
        <f t="shared" si="0"/>
        <v>0</v>
      </c>
      <c r="M16" s="407">
        <f t="shared" si="1"/>
        <v>2</v>
      </c>
      <c r="N16" s="380"/>
    </row>
    <row r="17" spans="1:14" x14ac:dyDescent="0.25">
      <c r="A17" s="375"/>
      <c r="B17" s="406" t="s">
        <v>40</v>
      </c>
      <c r="C17" s="401">
        <f>'4 weeks ago'!E21</f>
        <v>0</v>
      </c>
      <c r="D17" s="401">
        <f>'3 weeks ago'!E21</f>
        <v>0</v>
      </c>
      <c r="E17" s="402">
        <f>'Previous Week'!E21</f>
        <v>0</v>
      </c>
      <c r="F17" s="402">
        <f>'Last Week'!E21</f>
        <v>1</v>
      </c>
      <c r="G17" s="452">
        <f t="shared" si="2"/>
        <v>1</v>
      </c>
      <c r="H17" s="491">
        <f>'2016 Data'!E54</f>
        <v>1.2240437158469946</v>
      </c>
      <c r="I17" s="403">
        <f>'YTD 2017'!E21</f>
        <v>5</v>
      </c>
      <c r="J17" s="401">
        <f>'YTD 2016'!E21</f>
        <v>3</v>
      </c>
      <c r="K17" s="401">
        <f>'YTD 2015'!E21</f>
        <v>6</v>
      </c>
      <c r="L17" s="404">
        <f t="shared" si="0"/>
        <v>2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ago'!J21</f>
        <v>0</v>
      </c>
      <c r="D18" s="401">
        <f>'3 weeks ago'!J21</f>
        <v>1</v>
      </c>
      <c r="E18" s="402">
        <f>'Previous Week'!J21</f>
        <v>0</v>
      </c>
      <c r="F18" s="402">
        <f>'Last Week'!J21</f>
        <v>0</v>
      </c>
      <c r="G18" s="452">
        <f t="shared" si="2"/>
        <v>1</v>
      </c>
      <c r="H18" s="491">
        <f>'2016 Data'!J54</f>
        <v>1.2240437158469946</v>
      </c>
      <c r="I18" s="403">
        <f>'YTD 2017'!J21</f>
        <v>3</v>
      </c>
      <c r="J18" s="401">
        <f>'YTD 2016'!J21</f>
        <v>2</v>
      </c>
      <c r="K18" s="401">
        <f>'YTD 2015'!J21</f>
        <v>3</v>
      </c>
      <c r="L18" s="404">
        <f t="shared" si="0"/>
        <v>1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2</v>
      </c>
      <c r="F19" s="410">
        <f t="shared" si="4"/>
        <v>4</v>
      </c>
      <c r="G19" s="453">
        <f t="shared" si="4"/>
        <v>7</v>
      </c>
      <c r="H19" s="492">
        <f t="shared" si="4"/>
        <v>5.2793173141702212</v>
      </c>
      <c r="I19" s="411">
        <f t="shared" si="4"/>
        <v>18</v>
      </c>
      <c r="J19" s="409">
        <f t="shared" si="4"/>
        <v>17</v>
      </c>
      <c r="K19" s="409">
        <f t="shared" si="4"/>
        <v>19</v>
      </c>
      <c r="L19" s="412">
        <f>(I19-J19)/J19</f>
        <v>5.8823529411764705E-2</v>
      </c>
      <c r="M19" s="413">
        <f>(I19-K19)/K19</f>
        <v>-5.2631578947368418E-2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Data'!C54</f>
        <v>0.99453551912568305</v>
      </c>
      <c r="I21" s="416">
        <f>'YTD 2017'!C21</f>
        <v>0</v>
      </c>
      <c r="J21" s="401">
        <f>'YTD 2016'!C21</f>
        <v>1</v>
      </c>
      <c r="K21" s="401">
        <f>'YTD 2015'!C21</f>
        <v>4</v>
      </c>
      <c r="L21" s="404">
        <f t="shared" ref="L21:L29" si="6">I21-J21</f>
        <v>-1</v>
      </c>
      <c r="M21" s="407">
        <f>I21-K21</f>
        <v>-4</v>
      </c>
      <c r="N21" s="380"/>
    </row>
    <row r="22" spans="1:14" x14ac:dyDescent="0.25">
      <c r="A22" s="375"/>
      <c r="B22" s="417" t="s">
        <v>42</v>
      </c>
      <c r="C22" s="401">
        <f>'4 weeks ago'!N21</f>
        <v>3</v>
      </c>
      <c r="D22" s="401">
        <f>'3 weeks ago'!N21</f>
        <v>1</v>
      </c>
      <c r="E22" s="402">
        <f>'Previous Week'!N21</f>
        <v>0</v>
      </c>
      <c r="F22" s="402">
        <f>'Last Week'!N21</f>
        <v>0</v>
      </c>
      <c r="G22" s="452">
        <f t="shared" si="5"/>
        <v>4</v>
      </c>
      <c r="H22" s="491">
        <f>'2016 Data'!N54</f>
        <v>7.9562841530054644</v>
      </c>
      <c r="I22" s="418">
        <f>'YTD 2017'!N21</f>
        <v>15</v>
      </c>
      <c r="J22" s="401">
        <f>'YTD 2016'!N21</f>
        <v>24</v>
      </c>
      <c r="K22" s="401">
        <f>'YTD 2015'!N21</f>
        <v>37</v>
      </c>
      <c r="L22" s="404">
        <f t="shared" si="6"/>
        <v>-9</v>
      </c>
      <c r="M22" s="407">
        <f t="shared" ref="M22:M29" si="7">I22-K22</f>
        <v>-22</v>
      </c>
      <c r="N22" s="380"/>
    </row>
    <row r="23" spans="1:14" x14ac:dyDescent="0.25">
      <c r="A23" s="375"/>
      <c r="B23" s="417" t="s">
        <v>62</v>
      </c>
      <c r="C23" s="401">
        <f>'4 weeks ago'!L21</f>
        <v>0</v>
      </c>
      <c r="D23" s="401">
        <f>'3 weeks ago'!L21</f>
        <v>0</v>
      </c>
      <c r="E23" s="402">
        <f>'Previous Week'!L21</f>
        <v>0</v>
      </c>
      <c r="F23" s="402">
        <f>'Last Week'!L21</f>
        <v>0</v>
      </c>
      <c r="G23" s="418">
        <f t="shared" si="5"/>
        <v>0</v>
      </c>
      <c r="H23" s="491">
        <f>'2016 Data'!L54</f>
        <v>0.15300546448087432</v>
      </c>
      <c r="I23" s="418">
        <f>'YTD 2017'!L21</f>
        <v>1</v>
      </c>
      <c r="J23" s="401">
        <f>'YTD 2016'!L21</f>
        <v>0</v>
      </c>
      <c r="K23" s="401">
        <f>'YTD 2015'!L21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ago'!P21</f>
        <v>0</v>
      </c>
      <c r="D24" s="401">
        <f>'3 weeks ago'!P21</f>
        <v>0</v>
      </c>
      <c r="E24" s="402">
        <f>'Previous Week'!P21</f>
        <v>0</v>
      </c>
      <c r="F24" s="402">
        <f>'Last Week'!P21</f>
        <v>0</v>
      </c>
      <c r="G24" s="403">
        <f t="shared" si="5"/>
        <v>0</v>
      </c>
      <c r="H24" s="491">
        <f>'2016 Data'!P54</f>
        <v>0.30601092896174864</v>
      </c>
      <c r="I24" s="418">
        <f>'YTD 2017'!P21</f>
        <v>3</v>
      </c>
      <c r="J24" s="401">
        <f>'YTD 2016'!P21</f>
        <v>1</v>
      </c>
      <c r="K24" s="401">
        <f>'YTD 2015'!P21</f>
        <v>1</v>
      </c>
      <c r="L24" s="404">
        <f t="shared" si="6"/>
        <v>2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ago'!G21</f>
        <v>1</v>
      </c>
      <c r="D25" s="401">
        <f>'3 weeks ago'!G21</f>
        <v>1</v>
      </c>
      <c r="E25" s="402">
        <f>'Previous Week'!G21</f>
        <v>0</v>
      </c>
      <c r="F25" s="402">
        <f>'Last Week'!G21</f>
        <v>0</v>
      </c>
      <c r="G25" s="403">
        <f t="shared" si="5"/>
        <v>2</v>
      </c>
      <c r="H25" s="491">
        <f>'2016 Data'!G54</f>
        <v>5.0491803278688527</v>
      </c>
      <c r="I25" s="418">
        <f>'YTD 2017'!G21</f>
        <v>18</v>
      </c>
      <c r="J25" s="401">
        <f>'YTD 2016'!G21</f>
        <v>21</v>
      </c>
      <c r="K25" s="401">
        <f>'YTD 2015'!G21</f>
        <v>21</v>
      </c>
      <c r="L25" s="404">
        <f t="shared" si="6"/>
        <v>-3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ago'!I21</f>
        <v>0</v>
      </c>
      <c r="D26" s="401">
        <f>'3 weeks ago'!I21</f>
        <v>1</v>
      </c>
      <c r="E26" s="402">
        <f>'Previous Week'!I21</f>
        <v>0</v>
      </c>
      <c r="F26" s="402">
        <f>'Last Week'!I21</f>
        <v>4</v>
      </c>
      <c r="G26" s="452">
        <f t="shared" si="5"/>
        <v>5</v>
      </c>
      <c r="H26" s="491">
        <f>'2016 Data'!I54</f>
        <v>2.0655737704918034</v>
      </c>
      <c r="I26" s="418">
        <f>'YTD 2017'!I21</f>
        <v>12</v>
      </c>
      <c r="J26" s="401">
        <f>'YTD 2016'!I21</f>
        <v>6</v>
      </c>
      <c r="K26" s="401">
        <f>'YTD 2015'!I21</f>
        <v>7</v>
      </c>
      <c r="L26" s="404">
        <f t="shared" si="6"/>
        <v>6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ago'!H21</f>
        <v>1</v>
      </c>
      <c r="D27" s="401">
        <f>'3 weeks ago'!H21</f>
        <v>1</v>
      </c>
      <c r="E27" s="402">
        <f>'Previous Week'!H21</f>
        <v>0</v>
      </c>
      <c r="F27" s="402">
        <f>'Last Week'!H21</f>
        <v>1</v>
      </c>
      <c r="G27" s="452">
        <f t="shared" si="5"/>
        <v>3</v>
      </c>
      <c r="H27" s="491">
        <f>'2016 Data'!H54</f>
        <v>4.8961748633879782</v>
      </c>
      <c r="I27" s="418">
        <f>'YTD 2017'!H21</f>
        <v>6</v>
      </c>
      <c r="J27" s="401">
        <f>'YTD 2016'!H21</f>
        <v>12</v>
      </c>
      <c r="K27" s="401">
        <f>'YTD 2015'!H21</f>
        <v>13</v>
      </c>
      <c r="L27" s="404">
        <f>I27-J27</f>
        <v>-6</v>
      </c>
      <c r="M27" s="407">
        <f>I27-K27</f>
        <v>-7</v>
      </c>
      <c r="N27" s="380"/>
    </row>
    <row r="28" spans="1:14" x14ac:dyDescent="0.25">
      <c r="A28" s="375"/>
      <c r="B28" s="406" t="s">
        <v>34</v>
      </c>
      <c r="C28" s="401">
        <f>'4 weeks ago'!K21</f>
        <v>0</v>
      </c>
      <c r="D28" s="401">
        <f>'3 weeks ago'!K21</f>
        <v>0</v>
      </c>
      <c r="E28" s="402">
        <f>'Previous Week'!K21</f>
        <v>1</v>
      </c>
      <c r="F28" s="402">
        <f>'Last Week'!K21</f>
        <v>0</v>
      </c>
      <c r="G28" s="452">
        <f t="shared" si="5"/>
        <v>1</v>
      </c>
      <c r="H28" s="491">
        <f>'2016 Data'!K54</f>
        <v>0.30601092896174864</v>
      </c>
      <c r="I28" s="418">
        <f>'YTD 2017'!K21</f>
        <v>3</v>
      </c>
      <c r="J28" s="401">
        <f>'YTD 2016'!K21</f>
        <v>0</v>
      </c>
      <c r="K28" s="401">
        <f>'YTD 2015'!K21</f>
        <v>2</v>
      </c>
      <c r="L28" s="404">
        <f t="shared" si="6"/>
        <v>3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ago'!B21</f>
        <v>0</v>
      </c>
      <c r="D29" s="401">
        <f>'3 weeks ago'!B21</f>
        <v>0</v>
      </c>
      <c r="E29" s="402">
        <f>'Previous Week'!B21</f>
        <v>0</v>
      </c>
      <c r="F29" s="402">
        <f>'Last Week'!B21</f>
        <v>0</v>
      </c>
      <c r="G29" s="452">
        <f t="shared" si="5"/>
        <v>0</v>
      </c>
      <c r="H29" s="491">
        <f>'2016 Data'!B54</f>
        <v>3.9016393442622945</v>
      </c>
      <c r="I29" s="418">
        <f>'YTD 2017'!B21</f>
        <v>11</v>
      </c>
      <c r="J29" s="401">
        <f>'YTD 2016'!B21</f>
        <v>12</v>
      </c>
      <c r="K29" s="401">
        <f>'YTD 2015'!B21</f>
        <v>18</v>
      </c>
      <c r="L29" s="404">
        <f t="shared" si="6"/>
        <v>-1</v>
      </c>
      <c r="M29" s="407">
        <f t="shared" si="7"/>
        <v>-7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4</v>
      </c>
      <c r="E30" s="420">
        <f t="shared" si="8"/>
        <v>1</v>
      </c>
      <c r="F30" s="421">
        <f t="shared" si="8"/>
        <v>5</v>
      </c>
      <c r="G30" s="455">
        <f t="shared" si="8"/>
        <v>15</v>
      </c>
      <c r="H30" s="494">
        <f t="shared" si="8"/>
        <v>25.628415300546443</v>
      </c>
      <c r="I30" s="422">
        <f t="shared" si="8"/>
        <v>69</v>
      </c>
      <c r="J30" s="420">
        <f t="shared" si="8"/>
        <v>77</v>
      </c>
      <c r="K30" s="420">
        <f t="shared" si="8"/>
        <v>103</v>
      </c>
      <c r="L30" s="412">
        <f>(I30-J30)/J30</f>
        <v>-0.1038961038961039</v>
      </c>
      <c r="M30" s="413">
        <f>(I30-K30)/K30</f>
        <v>-0.3300970873786408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5</v>
      </c>
      <c r="E31" s="409">
        <f t="shared" si="9"/>
        <v>3</v>
      </c>
      <c r="F31" s="410">
        <f t="shared" si="9"/>
        <v>9</v>
      </c>
      <c r="G31" s="453">
        <f t="shared" si="9"/>
        <v>22</v>
      </c>
      <c r="H31" s="492">
        <f t="shared" si="9"/>
        <v>30.907732614716664</v>
      </c>
      <c r="I31" s="411">
        <f t="shared" si="9"/>
        <v>87</v>
      </c>
      <c r="J31" s="409">
        <f t="shared" si="9"/>
        <v>94</v>
      </c>
      <c r="K31" s="409">
        <f t="shared" si="9"/>
        <v>122</v>
      </c>
      <c r="L31" s="412">
        <f>(I31-J31)/J31</f>
        <v>-7.4468085106382975E-2</v>
      </c>
      <c r="M31" s="413">
        <f>(I31-K31)/K31</f>
        <v>-0.28688524590163933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ago'!S21</f>
        <v>6</v>
      </c>
      <c r="D41" s="441">
        <f>'3 weeks ago'!S21</f>
        <v>10</v>
      </c>
      <c r="E41" s="441">
        <f>'Previous Week'!S21</f>
        <v>4</v>
      </c>
      <c r="F41" s="442">
        <f>'Last Week'!S14</f>
        <v>4</v>
      </c>
      <c r="G41" s="452">
        <f t="shared" ref="G41:G42" si="10">SUM(C41:F41)</f>
        <v>24</v>
      </c>
      <c r="H41" s="501">
        <f>'2016 Data'!R54</f>
        <v>23.397260273972602</v>
      </c>
      <c r="I41" s="443">
        <f>'YTD 2017'!S21</f>
        <v>110</v>
      </c>
      <c r="J41" s="441">
        <f>'YTD 2016'!S21</f>
        <v>133</v>
      </c>
      <c r="K41" s="441">
        <f>'YTD 2015'!S21</f>
        <v>38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ago'!T21</f>
        <v>6</v>
      </c>
      <c r="D42" s="447">
        <f>'3 weeks ago'!T21</f>
        <v>12</v>
      </c>
      <c r="E42" s="446">
        <f>'Previous Week'!T21</f>
        <v>2</v>
      </c>
      <c r="F42" s="460">
        <f>'Last Week'!T21</f>
        <v>10</v>
      </c>
      <c r="G42" s="452">
        <f t="shared" si="10"/>
        <v>30</v>
      </c>
      <c r="H42" s="502">
        <f>'2016 Data'!S54</f>
        <v>18.18082191780822</v>
      </c>
      <c r="I42" s="448">
        <f>'YTD 2017'!T21</f>
        <v>92</v>
      </c>
      <c r="J42" s="482">
        <f>'YTD 2016'!T21</f>
        <v>100</v>
      </c>
      <c r="K42" s="446">
        <f>'YTD 2015'!T21</f>
        <v>58</v>
      </c>
      <c r="L42" s="412">
        <f>(I42-J42)/J42</f>
        <v>-0.08</v>
      </c>
      <c r="M42" s="413">
        <f>(I42-K42)/K42</f>
        <v>0.58620689655172409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8" priority="1" stopIfTrue="1" operator="greaterThan">
      <formula>0</formula>
    </cfRule>
  </conditionalFormatting>
  <conditionalFormatting sqref="L32:M32">
    <cfRule type="cellIs" dxfId="5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Data'!F55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Data'!M55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Rapes'!E25</f>
        <v>0</v>
      </c>
      <c r="D13" s="556">
        <f>'New Rapes'!D25</f>
        <v>0</v>
      </c>
      <c r="E13" s="555">
        <f>'New Rapes'!C25</f>
        <v>0</v>
      </c>
      <c r="F13" s="555">
        <f>'New Rapes'!B25</f>
        <v>0</v>
      </c>
      <c r="G13" s="452">
        <f t="shared" ref="G13" si="3">SUM(C13:F13)</f>
        <v>0</v>
      </c>
      <c r="H13" s="576">
        <v>0.23013698630136983</v>
      </c>
      <c r="I13" s="557">
        <f>'New Rapes'!G25</f>
        <v>0</v>
      </c>
      <c r="J13" s="556">
        <f>'New Rapes'!H25</f>
        <v>0</v>
      </c>
      <c r="K13" s="556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ago'!D22</f>
        <v>0</v>
      </c>
      <c r="D14" s="401">
        <f>'3 weeks ago'!D22</f>
        <v>0</v>
      </c>
      <c r="E14" s="402">
        <f>'Previous Week'!D22</f>
        <v>0</v>
      </c>
      <c r="F14" s="402">
        <f>'Last Week'!D22</f>
        <v>0</v>
      </c>
      <c r="G14" s="452">
        <f t="shared" si="2"/>
        <v>0</v>
      </c>
      <c r="H14" s="491">
        <f>'2016 Data'!D55</f>
        <v>7.650273224043716E-2</v>
      </c>
      <c r="I14" s="403">
        <f>'YTD 2017'!D22</f>
        <v>1</v>
      </c>
      <c r="J14" s="401">
        <f>'YTD 2016'!D22</f>
        <v>0</v>
      </c>
      <c r="K14" s="401">
        <f>'YTD 2015'!D22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ago'!Q22</f>
        <v>0</v>
      </c>
      <c r="D15" s="401">
        <f>'3 weeks ago'!Q22</f>
        <v>0</v>
      </c>
      <c r="E15" s="402">
        <f>'Previous Week'!Q22</f>
        <v>0</v>
      </c>
      <c r="F15" s="402">
        <f>'Last Week'!Q22</f>
        <v>0</v>
      </c>
      <c r="G15" s="452">
        <f t="shared" si="2"/>
        <v>0</v>
      </c>
      <c r="H15" s="491">
        <f>'2016 Data'!Q55</f>
        <v>1.4535519125683061</v>
      </c>
      <c r="I15" s="403">
        <f>'YTD 2017'!Q22</f>
        <v>2</v>
      </c>
      <c r="J15" s="401">
        <f>'YTD 2016'!Q22</f>
        <v>6</v>
      </c>
      <c r="K15" s="401">
        <f>'YTD 2015'!Q22</f>
        <v>3</v>
      </c>
      <c r="L15" s="404">
        <f t="shared" si="0"/>
        <v>-4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Data'!O55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ago'!E22</f>
        <v>0</v>
      </c>
      <c r="D17" s="401">
        <f>'3 weeks ago'!E22</f>
        <v>0</v>
      </c>
      <c r="E17" s="402">
        <f>'Previous Week'!E22</f>
        <v>1</v>
      </c>
      <c r="F17" s="402">
        <f>'Last Week'!E22</f>
        <v>1</v>
      </c>
      <c r="G17" s="452">
        <f t="shared" si="2"/>
        <v>2</v>
      </c>
      <c r="H17" s="491">
        <f>'2016 Data'!E55</f>
        <v>0.45901639344262296</v>
      </c>
      <c r="I17" s="403">
        <f>'YTD 2017'!E22</f>
        <v>4</v>
      </c>
      <c r="J17" s="401">
        <f>'YTD 2016'!E22</f>
        <v>6</v>
      </c>
      <c r="K17" s="401">
        <f>'YTD 2015'!E22</f>
        <v>2</v>
      </c>
      <c r="L17" s="404">
        <f t="shared" si="0"/>
        <v>-2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ago'!J22</f>
        <v>0</v>
      </c>
      <c r="D18" s="401">
        <f>'3 weeks ago'!J22</f>
        <v>0</v>
      </c>
      <c r="E18" s="402">
        <f>'Previous Week'!J22</f>
        <v>0</v>
      </c>
      <c r="F18" s="402">
        <f>'Last Week'!J22</f>
        <v>0</v>
      </c>
      <c r="G18" s="452">
        <f t="shared" si="2"/>
        <v>0</v>
      </c>
      <c r="H18" s="491">
        <f>'2016 Data'!J55</f>
        <v>0.22950819672131148</v>
      </c>
      <c r="I18" s="403">
        <f>'YTD 2017'!J22</f>
        <v>0</v>
      </c>
      <c r="J18" s="401">
        <f>'YTD 2016'!J22</f>
        <v>1</v>
      </c>
      <c r="K18" s="401">
        <f>'YTD 2015'!J22</f>
        <v>2</v>
      </c>
      <c r="L18" s="404">
        <f t="shared" si="0"/>
        <v>-1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2</v>
      </c>
      <c r="H19" s="492">
        <f t="shared" si="4"/>
        <v>2.6017216857549217</v>
      </c>
      <c r="I19" s="411">
        <f t="shared" si="4"/>
        <v>7</v>
      </c>
      <c r="J19" s="409">
        <f t="shared" si="4"/>
        <v>14</v>
      </c>
      <c r="K19" s="409">
        <f t="shared" si="4"/>
        <v>8</v>
      </c>
      <c r="L19" s="412">
        <f>(I19-J19)/J19</f>
        <v>-0.5</v>
      </c>
      <c r="M19" s="413">
        <f>(I19-K19)/K19</f>
        <v>-0.125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ago'!C22</f>
        <v>0</v>
      </c>
      <c r="D21" s="401">
        <f>'3 weeks ago'!C22</f>
        <v>0</v>
      </c>
      <c r="E21" s="402">
        <f>'Previous Week'!C22</f>
        <v>0</v>
      </c>
      <c r="F21" s="402">
        <f>'Last Week'!C22</f>
        <v>0</v>
      </c>
      <c r="G21" s="452">
        <f t="shared" ref="G21:G29" si="5">SUM(C21:F21)</f>
        <v>0</v>
      </c>
      <c r="H21" s="491">
        <f>'2016 Data'!C55</f>
        <v>1.3005464480874318</v>
      </c>
      <c r="I21" s="416">
        <f>'YTD 2017'!C22</f>
        <v>1</v>
      </c>
      <c r="J21" s="401">
        <f>'YTD 2016'!C22</f>
        <v>3</v>
      </c>
      <c r="K21" s="401">
        <f>'YTD 2015'!C22</f>
        <v>1</v>
      </c>
      <c r="L21" s="404">
        <f t="shared" ref="L21:L29" si="6">I21-J21</f>
        <v>-2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ago'!N22</f>
        <v>0</v>
      </c>
      <c r="D22" s="401">
        <f>'3 weeks ago'!N22</f>
        <v>0</v>
      </c>
      <c r="E22" s="402">
        <f>'Previous Week'!N22</f>
        <v>1</v>
      </c>
      <c r="F22" s="402">
        <f>'Last Week'!N22</f>
        <v>0</v>
      </c>
      <c r="G22" s="452">
        <f t="shared" si="5"/>
        <v>1</v>
      </c>
      <c r="H22" s="491">
        <f>'2016 Data'!N55</f>
        <v>3.0601092896174862</v>
      </c>
      <c r="I22" s="418">
        <f>'YTD 2017'!N22</f>
        <v>2</v>
      </c>
      <c r="J22" s="401">
        <f>'YTD 2016'!N22</f>
        <v>8</v>
      </c>
      <c r="K22" s="401">
        <f>'YTD 2015'!N22</f>
        <v>10</v>
      </c>
      <c r="L22" s="404">
        <f t="shared" si="6"/>
        <v>-6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ago'!L22</f>
        <v>0</v>
      </c>
      <c r="D23" s="401">
        <f>'3 weeks ago'!L22</f>
        <v>0</v>
      </c>
      <c r="E23" s="402">
        <f>'Previous Week'!L22</f>
        <v>0</v>
      </c>
      <c r="F23" s="402">
        <f>'Last Week'!L22</f>
        <v>0</v>
      </c>
      <c r="G23" s="418">
        <f t="shared" si="5"/>
        <v>0</v>
      </c>
      <c r="H23" s="491">
        <f>'2016 Data'!L55</f>
        <v>0.22950819672131148</v>
      </c>
      <c r="I23" s="418">
        <f>'YTD 2017'!L22</f>
        <v>1</v>
      </c>
      <c r="J23" s="401">
        <f>'YTD 2016'!L22</f>
        <v>0</v>
      </c>
      <c r="K23" s="401">
        <f>'YTD 2015'!L22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ago'!P22</f>
        <v>0</v>
      </c>
      <c r="D24" s="401">
        <f>'3 weeks ago'!P22</f>
        <v>2</v>
      </c>
      <c r="E24" s="402">
        <f>'Previous Week'!P22</f>
        <v>0</v>
      </c>
      <c r="F24" s="402">
        <f>'Last Week'!P22</f>
        <v>5</v>
      </c>
      <c r="G24" s="403">
        <f t="shared" si="5"/>
        <v>7</v>
      </c>
      <c r="H24" s="491">
        <f>'2016 Data'!P55</f>
        <v>3.2896174863387979</v>
      </c>
      <c r="I24" s="418">
        <f>'YTD 2017'!P22</f>
        <v>18</v>
      </c>
      <c r="J24" s="401">
        <f>'YTD 2016'!P22</f>
        <v>8</v>
      </c>
      <c r="K24" s="401">
        <f>'YTD 2015'!P22</f>
        <v>5</v>
      </c>
      <c r="L24" s="404">
        <f t="shared" si="6"/>
        <v>10</v>
      </c>
      <c r="M24" s="407">
        <f t="shared" si="7"/>
        <v>13</v>
      </c>
      <c r="N24" s="380"/>
    </row>
    <row r="25" spans="1:14" x14ac:dyDescent="0.25">
      <c r="A25" s="375"/>
      <c r="B25" s="406" t="s">
        <v>7</v>
      </c>
      <c r="C25" s="401">
        <f>'4 weeks ago'!G22</f>
        <v>4</v>
      </c>
      <c r="D25" s="401">
        <f>'3 weeks ago'!G22</f>
        <v>6</v>
      </c>
      <c r="E25" s="402">
        <f>'Previous Week'!G22</f>
        <v>3</v>
      </c>
      <c r="F25" s="402">
        <f>'Last Week'!G22</f>
        <v>3</v>
      </c>
      <c r="G25" s="403">
        <f t="shared" si="5"/>
        <v>16</v>
      </c>
      <c r="H25" s="491">
        <f>'2016 Data'!G55</f>
        <v>7.2677595628415306</v>
      </c>
      <c r="I25" s="418">
        <f>'YTD 2017'!G22</f>
        <v>38</v>
      </c>
      <c r="J25" s="401">
        <f>'YTD 2016'!G22</f>
        <v>26</v>
      </c>
      <c r="K25" s="401">
        <f>'YTD 2015'!G22</f>
        <v>49</v>
      </c>
      <c r="L25" s="404">
        <f t="shared" si="6"/>
        <v>12</v>
      </c>
      <c r="M25" s="407">
        <f t="shared" si="7"/>
        <v>-11</v>
      </c>
      <c r="N25" s="380"/>
    </row>
    <row r="26" spans="1:14" x14ac:dyDescent="0.25">
      <c r="A26" s="375"/>
      <c r="B26" s="406" t="s">
        <v>68</v>
      </c>
      <c r="C26" s="401">
        <f>'4 weeks ago'!I22</f>
        <v>0</v>
      </c>
      <c r="D26" s="401">
        <f>'3 weeks ago'!I22</f>
        <v>1</v>
      </c>
      <c r="E26" s="402">
        <f>'Previous Week'!I22</f>
        <v>1</v>
      </c>
      <c r="F26" s="402">
        <f>'Last Week'!I22</f>
        <v>0</v>
      </c>
      <c r="G26" s="452">
        <f t="shared" si="5"/>
        <v>2</v>
      </c>
      <c r="H26" s="491">
        <f>'2016 Data'!I55</f>
        <v>3.0601092896174862</v>
      </c>
      <c r="I26" s="418">
        <f>'YTD 2017'!I22</f>
        <v>5</v>
      </c>
      <c r="J26" s="401">
        <f>'YTD 2016'!I22</f>
        <v>7</v>
      </c>
      <c r="K26" s="401">
        <f>'YTD 2015'!I22</f>
        <v>11</v>
      </c>
      <c r="L26" s="404">
        <f t="shared" si="6"/>
        <v>-2</v>
      </c>
      <c r="M26" s="407">
        <f t="shared" si="7"/>
        <v>-6</v>
      </c>
      <c r="N26" s="380"/>
    </row>
    <row r="27" spans="1:14" x14ac:dyDescent="0.25">
      <c r="A27" s="375"/>
      <c r="B27" s="406" t="s">
        <v>67</v>
      </c>
      <c r="C27" s="401">
        <f>'4 weeks ago'!H22</f>
        <v>0</v>
      </c>
      <c r="D27" s="401">
        <f>'3 weeks ago'!H22</f>
        <v>1</v>
      </c>
      <c r="E27" s="402">
        <f>'Previous Week'!H22</f>
        <v>0</v>
      </c>
      <c r="F27" s="402">
        <f>'Last Week'!H22</f>
        <v>0</v>
      </c>
      <c r="G27" s="452">
        <f t="shared" si="5"/>
        <v>1</v>
      </c>
      <c r="H27" s="491">
        <f>'2016 Data'!H55</f>
        <v>2.4480874316939891</v>
      </c>
      <c r="I27" s="418">
        <f>'YTD 2017'!H22</f>
        <v>6</v>
      </c>
      <c r="J27" s="401">
        <f>'YTD 2016'!H22</f>
        <v>6</v>
      </c>
      <c r="K27" s="401">
        <f>'YTD 2015'!H22</f>
        <v>14</v>
      </c>
      <c r="L27" s="404">
        <f>I27-J27</f>
        <v>0</v>
      </c>
      <c r="M27" s="407">
        <f>I27-K27</f>
        <v>-8</v>
      </c>
      <c r="N27" s="380"/>
    </row>
    <row r="28" spans="1:14" x14ac:dyDescent="0.25">
      <c r="A28" s="375"/>
      <c r="B28" s="406" t="s">
        <v>34</v>
      </c>
      <c r="C28" s="401">
        <f>'4 weeks ago'!K22</f>
        <v>0</v>
      </c>
      <c r="D28" s="401">
        <f>'3 weeks ago'!K22</f>
        <v>0</v>
      </c>
      <c r="E28" s="402">
        <f>'Previous Week'!K22</f>
        <v>0</v>
      </c>
      <c r="F28" s="402">
        <f>'Last Week'!K22</f>
        <v>1</v>
      </c>
      <c r="G28" s="452">
        <f t="shared" si="5"/>
        <v>1</v>
      </c>
      <c r="H28" s="491">
        <f>'2016 Data'!K55</f>
        <v>0.15300546448087432</v>
      </c>
      <c r="I28" s="418">
        <f>'YTD 2017'!K22</f>
        <v>3</v>
      </c>
      <c r="J28" s="401">
        <f>'YTD 2016'!K22</f>
        <v>0</v>
      </c>
      <c r="K28" s="401">
        <f>'YTD 2015'!K22</f>
        <v>5</v>
      </c>
      <c r="L28" s="404">
        <f t="shared" si="6"/>
        <v>3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ago'!B22</f>
        <v>1</v>
      </c>
      <c r="D29" s="401">
        <f>'3 weeks ago'!B22</f>
        <v>1</v>
      </c>
      <c r="E29" s="402">
        <f>'Previous Week'!B22</f>
        <v>0</v>
      </c>
      <c r="F29" s="402">
        <f>'Last Week'!B22</f>
        <v>1</v>
      </c>
      <c r="G29" s="452">
        <f t="shared" si="5"/>
        <v>3</v>
      </c>
      <c r="H29" s="491">
        <f>'2016 Data'!B55</f>
        <v>1.3770491803278688</v>
      </c>
      <c r="I29" s="418">
        <f>'YTD 2017'!B22</f>
        <v>12</v>
      </c>
      <c r="J29" s="401">
        <f>'YTD 2016'!B22</f>
        <v>7</v>
      </c>
      <c r="K29" s="401">
        <f>'YTD 2015'!B22</f>
        <v>9</v>
      </c>
      <c r="L29" s="404">
        <f t="shared" si="6"/>
        <v>5</v>
      </c>
      <c r="M29" s="407">
        <f t="shared" si="7"/>
        <v>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11</v>
      </c>
      <c r="E30" s="420">
        <f t="shared" si="8"/>
        <v>5</v>
      </c>
      <c r="F30" s="421">
        <f t="shared" si="8"/>
        <v>10</v>
      </c>
      <c r="G30" s="455">
        <f t="shared" si="8"/>
        <v>31</v>
      </c>
      <c r="H30" s="494">
        <f t="shared" si="8"/>
        <v>22.185792349726775</v>
      </c>
      <c r="I30" s="422">
        <f t="shared" si="8"/>
        <v>86</v>
      </c>
      <c r="J30" s="420">
        <f t="shared" si="8"/>
        <v>65</v>
      </c>
      <c r="K30" s="420">
        <f t="shared" si="8"/>
        <v>105</v>
      </c>
      <c r="L30" s="412">
        <f>(I30-J30)/J30</f>
        <v>0.32307692307692309</v>
      </c>
      <c r="M30" s="413">
        <f>(I30-K30)/K30</f>
        <v>-0.18095238095238095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11</v>
      </c>
      <c r="E31" s="409">
        <f t="shared" si="9"/>
        <v>6</v>
      </c>
      <c r="F31" s="410">
        <f t="shared" si="9"/>
        <v>11</v>
      </c>
      <c r="G31" s="453">
        <f t="shared" si="9"/>
        <v>33</v>
      </c>
      <c r="H31" s="492">
        <f t="shared" si="9"/>
        <v>24.787514035481696</v>
      </c>
      <c r="I31" s="411">
        <f t="shared" si="9"/>
        <v>93</v>
      </c>
      <c r="J31" s="409">
        <f t="shared" si="9"/>
        <v>79</v>
      </c>
      <c r="K31" s="409">
        <f t="shared" si="9"/>
        <v>113</v>
      </c>
      <c r="L31" s="412">
        <f>(I31-J31)/J31</f>
        <v>0.17721518987341772</v>
      </c>
      <c r="M31" s="413">
        <f>(I31-K31)/K31</f>
        <v>-0.17699115044247787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ago'!S22</f>
        <v>3</v>
      </c>
      <c r="D41" s="441">
        <f>'3 weeks ago'!S22</f>
        <v>0</v>
      </c>
      <c r="E41" s="441">
        <f>'Previous Week'!S22</f>
        <v>0</v>
      </c>
      <c r="F41" s="442">
        <f>'Last Week'!S15</f>
        <v>1</v>
      </c>
      <c r="G41" s="452">
        <f t="shared" ref="G41:G42" si="10">SUM(C41:F41)</f>
        <v>4</v>
      </c>
      <c r="H41" s="501">
        <f>'2016 Data'!R55</f>
        <v>3.5287671232876714</v>
      </c>
      <c r="I41" s="443">
        <f>'YTD 2017'!S22</f>
        <v>20</v>
      </c>
      <c r="J41" s="441">
        <f>'YTD 2016'!S22</f>
        <v>24</v>
      </c>
      <c r="K41" s="441">
        <f>'YTD 2015'!S22</f>
        <v>11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ago'!T22</f>
        <v>6</v>
      </c>
      <c r="D42" s="447">
        <f>'3 weeks ago'!T22</f>
        <v>4</v>
      </c>
      <c r="E42" s="446">
        <f>'Previous Week'!T22</f>
        <v>1</v>
      </c>
      <c r="F42" s="460">
        <f>'Last Week'!T22</f>
        <v>2</v>
      </c>
      <c r="G42" s="452">
        <f t="shared" si="10"/>
        <v>13</v>
      </c>
      <c r="H42" s="502">
        <f>'2016 Data'!S55</f>
        <v>12.657534246575342</v>
      </c>
      <c r="I42" s="448">
        <f>'YTD 2017'!T22</f>
        <v>49</v>
      </c>
      <c r="J42" s="482">
        <f>'YTD 2016'!T22</f>
        <v>61</v>
      </c>
      <c r="K42" s="446">
        <f>'YTD 2015'!T22</f>
        <v>54</v>
      </c>
      <c r="L42" s="412">
        <f>(I42-J42)/J42</f>
        <v>-0.19672131147540983</v>
      </c>
      <c r="M42" s="413">
        <f>(I42-K42)/K42</f>
        <v>-9.2592592592592587E-2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6" priority="1" stopIfTrue="1" operator="greaterThan">
      <formula>0</formula>
    </cfRule>
  </conditionalFormatting>
  <conditionalFormatting sqref="L32:M32">
    <cfRule type="cellIs" dxfId="5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G10" sqref="G10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174</v>
      </c>
      <c r="N4" s="27"/>
    </row>
    <row r="5" spans="1:21" ht="18.75" customHeight="1" x14ac:dyDescent="0.3">
      <c r="A5" s="27"/>
      <c r="C5" s="220" t="s">
        <v>232</v>
      </c>
      <c r="G5" s="78"/>
      <c r="H5" s="29"/>
      <c r="L5"/>
      <c r="N5" s="27"/>
      <c r="O5" s="536"/>
      <c r="P5" t="s">
        <v>56</v>
      </c>
    </row>
    <row r="6" spans="1:21" ht="18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233</v>
      </c>
      <c r="D10" s="250" t="s">
        <v>222</v>
      </c>
      <c r="E10" s="251" t="s">
        <v>181</v>
      </c>
      <c r="F10" s="252" t="s">
        <v>234</v>
      </c>
      <c r="G10" s="253">
        <v>42826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0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1</v>
      </c>
      <c r="J11" s="2">
        <f>'Beat 41'!J11+'Beat 42'!J11+'Beat 43'!J11+'Beat 44'!J11+'Beat 45'!J11+'Beat 46'!J11</f>
        <v>2</v>
      </c>
      <c r="K11" s="2">
        <f>'Beat 41'!K11+'Beat 42'!K11+'Beat 43'!K11+'Beat 44'!K11+'Beat 45'!K11+'Beat 46'!K11</f>
        <v>2</v>
      </c>
      <c r="L11" s="52">
        <f t="shared" ref="L11:L18" si="1">I11-J11</f>
        <v>-1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1</v>
      </c>
      <c r="J12" s="2">
        <f>'Beat 41'!J12+'Beat 42'!J12+'Beat 43'!J12+'Beat 44'!J12+'Beat 45'!J12+'Beat 46'!J12</f>
        <v>6</v>
      </c>
      <c r="K12" s="2">
        <f>'Beat 41'!K12+'Beat 42'!K12+'Beat 43'!K12+'Beat 44'!K12+'Beat 45'!K12+'Beat 46'!K12</f>
        <v>2</v>
      </c>
      <c r="L12" s="52">
        <f t="shared" si="1"/>
        <v>-5</v>
      </c>
      <c r="M12" s="53">
        <f t="shared" si="2"/>
        <v>-1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0</v>
      </c>
      <c r="E13" s="42">
        <f t="shared" si="0"/>
        <v>0.2492102702298076</v>
      </c>
      <c r="F13" s="106">
        <f>'Beat 41'!G13+'Beat 42'!G13+'Beat 43'!G13+'Beat 44'!G13+'Beat 45'!G13+'Beat 46'!G13</f>
        <v>0</v>
      </c>
      <c r="G13" s="558">
        <f>'New Rapes'!L9</f>
        <v>2</v>
      </c>
      <c r="H13" s="42">
        <f>'Beat 41'!H13+'Beat 42'!H13+'Beat 43'!H13+'Beat 44'!H13+'Beat 45'!H13+'Beat 46'!H13</f>
        <v>0.9968410809192304</v>
      </c>
      <c r="I13" s="111">
        <f>'Beat 41'!I13+'Beat 42'!I13+'Beat 43'!I13+'Beat 44'!I13+'Beat 45'!I13+'Beat 46'!I13</f>
        <v>2</v>
      </c>
      <c r="J13" s="2">
        <f>'Beat 41'!J13+'Beat 42'!J13+'Beat 43'!J13+'Beat 44'!J13+'Beat 45'!J13+'Beat 46'!J13</f>
        <v>3</v>
      </c>
      <c r="K13" s="2">
        <f>'Beat 41'!K13+'Beat 42'!K13+'Beat 43'!K13+'Beat 44'!K13+'Beat 45'!K13+'Beat 46'!K13</f>
        <v>0</v>
      </c>
      <c r="L13" s="52">
        <f t="shared" ref="L13" si="4">I13-J13</f>
        <v>-1</v>
      </c>
      <c r="M13" s="53">
        <f t="shared" ref="M13" si="5">I13-K13</f>
        <v>2</v>
      </c>
      <c r="N13" s="18"/>
    </row>
    <row r="14" spans="1:21" x14ac:dyDescent="0.2">
      <c r="A14" s="19"/>
      <c r="B14" s="10" t="s">
        <v>29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0</v>
      </c>
      <c r="E14" s="42">
        <f t="shared" si="0"/>
        <v>0.59289617486338797</v>
      </c>
      <c r="F14" s="106">
        <f>'Beat 41'!G14+'Beat 42'!G14+'Beat 43'!G14+'Beat 44'!G14+'Beat 45'!G14+'Beat 46'!G14</f>
        <v>0</v>
      </c>
      <c r="G14" s="263">
        <f>'Previous 28 Days'!D6</f>
        <v>1</v>
      </c>
      <c r="H14" s="42">
        <f>'Beat 41'!H14+'Beat 42'!H14+'Beat 43'!H14+'Beat 44'!H14+'Beat 45'!H14+'Beat 46'!H14</f>
        <v>2.3715846994535519</v>
      </c>
      <c r="I14" s="111">
        <f>'Beat 41'!I14+'Beat 42'!I14+'Beat 43'!I14+'Beat 44'!I14+'Beat 45'!I14+'Beat 46'!I14</f>
        <v>10</v>
      </c>
      <c r="J14" s="2">
        <f>'Beat 41'!J14+'Beat 42'!J14+'Beat 43'!J14+'Beat 44'!J14+'Beat 45'!J14+'Beat 46'!J14</f>
        <v>10</v>
      </c>
      <c r="K14" s="2">
        <f>'Beat 41'!K14+'Beat 42'!K14+'Beat 43'!K14+'Beat 44'!K14+'Beat 45'!K14+'Beat 46'!K14</f>
        <v>5</v>
      </c>
      <c r="L14" s="52">
        <f t="shared" si="1"/>
        <v>0</v>
      </c>
      <c r="M14" s="53">
        <f t="shared" si="2"/>
        <v>5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41'!F15+'Beat 42'!F15+'Beat 43'!F15+'Beat 44'!F15+'Beat 45'!F15+'Beat 46'!F15</f>
        <v>1</v>
      </c>
      <c r="D15" s="2">
        <f>'Beat 41'!E15+'Beat 42'!E15+'Beat 43'!E15+'Beat 44'!E15+'Beat 45'!E15+'Beat 46'!E15</f>
        <v>1</v>
      </c>
      <c r="E15" s="42">
        <f>H15/4</f>
        <v>0.61202185792349728</v>
      </c>
      <c r="F15" s="106">
        <f>'Beat 41'!G15+'Beat 42'!G15+'Beat 43'!G15+'Beat 44'!G15+'Beat 45'!G15+'Beat 46'!G15</f>
        <v>3</v>
      </c>
      <c r="G15" s="263">
        <f>'Previous 28 Days'!Q6</f>
        <v>0</v>
      </c>
      <c r="H15" s="42">
        <f>'Beat 41'!H15+'Beat 42'!H15+'Beat 43'!H15+'Beat 44'!H15+'Beat 45'!H15+'Beat 46'!H15</f>
        <v>2.4480874316939891</v>
      </c>
      <c r="I15" s="111">
        <f>'Beat 41'!I15+'Beat 42'!I15+'Beat 43'!I15+'Beat 44'!I15+'Beat 45'!I15+'Beat 46'!I15</f>
        <v>8</v>
      </c>
      <c r="J15" s="2">
        <f>'Beat 41'!J15+'Beat 42'!J15+'Beat 43'!J15+'Beat 44'!J15+'Beat 45'!J15+'Beat 46'!J15</f>
        <v>13</v>
      </c>
      <c r="K15" s="2">
        <f>'Beat 41'!K15+'Beat 42'!K15+'Beat 43'!K15+'Beat 44'!K15+'Beat 45'!K15+'Beat 46'!K15</f>
        <v>11</v>
      </c>
      <c r="L15" s="52">
        <f t="shared" si="1"/>
        <v>-5</v>
      </c>
      <c r="M15" s="53">
        <f t="shared" si="2"/>
        <v>-3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0</v>
      </c>
      <c r="G16" s="263">
        <f>'Previous 28 Days'!O6</f>
        <v>1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3</v>
      </c>
      <c r="L16" s="52">
        <f t="shared" si="1"/>
        <v>0</v>
      </c>
      <c r="M16" s="53">
        <f t="shared" si="2"/>
        <v>-2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41'!F17+'Beat 42'!F17+'Beat 43'!F17+'Beat 44'!F17+'Beat 45'!F17+'Beat 46'!F17</f>
        <v>1</v>
      </c>
      <c r="D17" s="2">
        <f>'Beat 41'!E17+'Beat 42'!E17+'Beat 43'!E17+'Beat 44'!E17+'Beat 45'!E17+'Beat 46'!E17</f>
        <v>1</v>
      </c>
      <c r="E17" s="42">
        <f t="shared" si="0"/>
        <v>0.42076502732240439</v>
      </c>
      <c r="F17" s="106">
        <f>'Beat 41'!G17+'Beat 42'!G17+'Beat 43'!G17+'Beat 44'!G17+'Beat 45'!G17+'Beat 46'!G17</f>
        <v>4</v>
      </c>
      <c r="G17" s="263">
        <f>'Previous 28 Days'!E6</f>
        <v>3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12</v>
      </c>
      <c r="J17" s="2">
        <f>'Beat 41'!J17+'Beat 42'!J17+'Beat 43'!J17+'Beat 44'!J17+'Beat 45'!J17+'Beat 46'!J17</f>
        <v>3</v>
      </c>
      <c r="K17" s="2">
        <f>'Beat 41'!K17+'Beat 42'!K17+'Beat 43'!K17+'Beat 44'!K17+'Beat 45'!K17+'Beat 46'!K17</f>
        <v>4</v>
      </c>
      <c r="L17" s="52">
        <f t="shared" si="1"/>
        <v>9</v>
      </c>
      <c r="M17" s="53">
        <f t="shared" si="2"/>
        <v>8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">
      <c r="A18" s="19"/>
      <c r="B18" s="10" t="s">
        <v>41</v>
      </c>
      <c r="C18" s="103">
        <f>'Beat 41'!F18+'Beat 42'!F18+'Beat 43'!F18+'Beat 44'!F18+'Beat 45'!F18+'Beat 46'!F18</f>
        <v>0</v>
      </c>
      <c r="D18" s="2">
        <f>'Beat 41'!E18+'Beat 42'!E18+'Beat 43'!E18+'Beat 44'!E18+'Beat 45'!E18+'Beat 46'!E18</f>
        <v>1</v>
      </c>
      <c r="E18" s="42">
        <f t="shared" si="0"/>
        <v>0.59289617486338808</v>
      </c>
      <c r="F18" s="106">
        <f>'Beat 41'!G18+'Beat 42'!G18+'Beat 43'!G18+'Beat 44'!G18+'Beat 45'!G18+'Beat 46'!G18</f>
        <v>1</v>
      </c>
      <c r="G18" s="263">
        <f>'Previous 28 Days'!J6</f>
        <v>3</v>
      </c>
      <c r="H18" s="42">
        <f>'Beat 41'!H18+'Beat 42'!H18+'Beat 43'!H18+'Beat 44'!H18+'Beat 45'!H18+'Beat 46'!H18</f>
        <v>2.3715846994535523</v>
      </c>
      <c r="I18" s="111">
        <f>'Beat 41'!I18+'Beat 42'!I18+'Beat 43'!I18+'Beat 44'!I18+'Beat 45'!I18+'Beat 46'!I18</f>
        <v>5</v>
      </c>
      <c r="J18" s="2">
        <f>'Beat 41'!J18+'Beat 42'!J18+'Beat 43'!J18+'Beat 44'!J18+'Beat 45'!J18+'Beat 46'!J18</f>
        <v>14</v>
      </c>
      <c r="K18" s="2">
        <f>'Beat 41'!K18+'Beat 42'!K18+'Beat 43'!K18+'Beat 44'!K18+'Beat 45'!K18+'Beat 46'!K18</f>
        <v>7</v>
      </c>
      <c r="L18" s="52">
        <f t="shared" si="1"/>
        <v>-9</v>
      </c>
      <c r="M18" s="53">
        <f t="shared" si="2"/>
        <v>-2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2</v>
      </c>
      <c r="D19" s="12">
        <f t="shared" si="7"/>
        <v>3</v>
      </c>
      <c r="E19" s="43">
        <f t="shared" si="7"/>
        <v>2.9076802155849988</v>
      </c>
      <c r="F19" s="104">
        <f t="shared" si="7"/>
        <v>8</v>
      </c>
      <c r="G19" s="12">
        <f t="shared" si="7"/>
        <v>10</v>
      </c>
      <c r="H19" s="43">
        <f t="shared" si="7"/>
        <v>11.630720862339995</v>
      </c>
      <c r="I19" s="104">
        <f t="shared" si="7"/>
        <v>40</v>
      </c>
      <c r="J19" s="12">
        <f t="shared" si="7"/>
        <v>52</v>
      </c>
      <c r="K19" s="46">
        <f t="shared" si="7"/>
        <v>34</v>
      </c>
      <c r="L19" s="54">
        <f>(I19-J19)/J19</f>
        <v>-0.23076923076923078</v>
      </c>
      <c r="M19" s="55">
        <f>(I19-K19)/K19</f>
        <v>0.17647058823529413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41'!F21+'Beat 42'!F21+'Beat 43'!F21+'Beat 44'!F21+'Beat 45'!F21+'Beat 46'!F21</f>
        <v>0</v>
      </c>
      <c r="D21" s="2">
        <f>'Beat 41'!E21+'Beat 42'!E21+'Beat 43'!E21+'Beat 44'!E21+'Beat 45'!E21+'Beat 46'!E21</f>
        <v>4</v>
      </c>
      <c r="E21" s="42">
        <f>H21/4</f>
        <v>1.1284153005464479</v>
      </c>
      <c r="F21" s="106">
        <f>'Beat 41'!G21+'Beat 42'!G21+'Beat 43'!G21+'Beat 44'!G21+'Beat 45'!G21+'Beat 46'!G21</f>
        <v>10</v>
      </c>
      <c r="G21" s="263">
        <f>'Previous 28 Days'!C6</f>
        <v>0</v>
      </c>
      <c r="H21" s="42">
        <f>'Beat 41'!H21+'Beat 42'!H21+'Beat 43'!H21+'Beat 44'!H21+'Beat 45'!H21+'Beat 46'!H21</f>
        <v>4.5136612021857916</v>
      </c>
      <c r="I21" s="111">
        <f>'Beat 41'!I21+'Beat 42'!I21+'Beat 43'!I21+'Beat 44'!I21+'Beat 45'!I21+'Beat 46'!I21</f>
        <v>19</v>
      </c>
      <c r="J21" s="2">
        <f>'Beat 41'!J21+'Beat 42'!J21+'Beat 43'!J21+'Beat 44'!J21+'Beat 45'!J21+'Beat 46'!J21</f>
        <v>15</v>
      </c>
      <c r="K21" s="2">
        <f>'Beat 41'!K21+'Beat 42'!K21+'Beat 43'!K21+'Beat 44'!K21+'Beat 45'!K21+'Beat 46'!K21</f>
        <v>13</v>
      </c>
      <c r="L21" s="52">
        <f>I21-J21</f>
        <v>4</v>
      </c>
      <c r="M21" s="53">
        <f>I21-K21</f>
        <v>6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41'!F22+'Beat 42'!F22+'Beat 43'!F22+'Beat 44'!F22+'Beat 45'!F22+'Beat 46'!F22</f>
        <v>1</v>
      </c>
      <c r="D22" s="2">
        <f>'Beat 41'!E22+'Beat 42'!E22+'Beat 43'!E22+'Beat 44'!E22+'Beat 45'!E22+'Beat 46'!E22</f>
        <v>4</v>
      </c>
      <c r="E22" s="42">
        <f t="shared" ref="E22:E29" si="9">H22/4</f>
        <v>3.6912568306010933</v>
      </c>
      <c r="F22" s="106">
        <f>'Beat 41'!G22+'Beat 42'!G22+'Beat 43'!G22+'Beat 44'!G22+'Beat 45'!G22+'Beat 46'!G22</f>
        <v>9</v>
      </c>
      <c r="G22" s="263">
        <f>'Previous 28 Days'!N6</f>
        <v>14</v>
      </c>
      <c r="H22" s="42">
        <f>'Beat 41'!H22+'Beat 42'!H22+'Beat 43'!H22+'Beat 44'!H22+'Beat 45'!H22+'Beat 46'!H22</f>
        <v>14.765027322404373</v>
      </c>
      <c r="I22" s="111">
        <f>'Beat 41'!I22+'Beat 42'!I22+'Beat 43'!I22+'Beat 44'!I22+'Beat 45'!I22+'Beat 46'!I22</f>
        <v>54</v>
      </c>
      <c r="J22" s="2">
        <f>'Beat 41'!J22+'Beat 42'!J22+'Beat 43'!J22+'Beat 44'!J22+'Beat 45'!J22+'Beat 46'!J22</f>
        <v>53</v>
      </c>
      <c r="K22" s="2">
        <f>'Beat 41'!K22+'Beat 42'!K22+'Beat 43'!K22+'Beat 44'!K22+'Beat 45'!K22+'Beat 46'!K22</f>
        <v>74</v>
      </c>
      <c r="L22" s="52">
        <f t="shared" ref="L22:L29" si="10">I22-J22</f>
        <v>1</v>
      </c>
      <c r="M22" s="53">
        <f t="shared" ref="M22:M28" si="11">I22-K22</f>
        <v>-20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41'!F23+'Beat 42'!F23+'Beat 43'!F23+'Beat 44'!F23+'Beat 45'!F23+'Beat 46'!F23</f>
        <v>1</v>
      </c>
      <c r="D23" s="2">
        <f>'Beat 41'!E23+'Beat 42'!E23+'Beat 43'!E23+'Beat 44'!E23+'Beat 45'!E23+'Beat 46'!E23</f>
        <v>0</v>
      </c>
      <c r="E23" s="42">
        <f>H23/4</f>
        <v>0.17213114754098358</v>
      </c>
      <c r="F23" s="106">
        <f>'Beat 41'!G23+'Beat 42'!G23+'Beat 43'!G23+'Beat 44'!G23+'Beat 45'!G23+'Beat 46'!G23</f>
        <v>1</v>
      </c>
      <c r="G23" s="263">
        <f>'Previous 28 Days'!L6</f>
        <v>1</v>
      </c>
      <c r="H23" s="42">
        <f>'Beat 41'!H23+'Beat 42'!H23+'Beat 43'!H23+'Beat 44'!H23+'Beat 45'!H23+'Beat 46'!H23</f>
        <v>0.6885245901639343</v>
      </c>
      <c r="I23" s="111">
        <f>'Beat 41'!I23+'Beat 42'!I23+'Beat 43'!I23+'Beat 44'!I23+'Beat 45'!I23+'Beat 46'!I23</f>
        <v>2</v>
      </c>
      <c r="J23" s="2">
        <f>'Beat 41'!J23+'Beat 42'!J23+'Beat 43'!J23+'Beat 44'!J23+'Beat 45'!J23+'Beat 46'!J23</f>
        <v>1</v>
      </c>
      <c r="K23" s="2">
        <f>'Beat 41'!K23+'Beat 42'!K23+'Beat 43'!K23+'Beat 44'!K23+'Beat 45'!K23+'Beat 46'!K23</f>
        <v>6</v>
      </c>
      <c r="L23" s="52">
        <f t="shared" si="10"/>
        <v>1</v>
      </c>
      <c r="M23" s="53">
        <f t="shared" si="11"/>
        <v>-4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41'!F24+'Beat 42'!F24+'Beat 43'!F24+'Beat 44'!F24+'Beat 45'!F24+'Beat 46'!F24</f>
        <v>13</v>
      </c>
      <c r="D24" s="2">
        <f>'Beat 41'!E24+'Beat 42'!E24+'Beat 43'!E24+'Beat 44'!E24+'Beat 45'!E24+'Beat 46'!E24</f>
        <v>14</v>
      </c>
      <c r="E24" s="42">
        <f t="shared" si="9"/>
        <v>12.221311475409834</v>
      </c>
      <c r="F24" s="106">
        <f>'Beat 41'!G24+'Beat 42'!G24+'Beat 43'!G24+'Beat 44'!G24+'Beat 45'!G24+'Beat 46'!G24</f>
        <v>53</v>
      </c>
      <c r="G24" s="263">
        <f>'Previous 28 Days'!P6</f>
        <v>56</v>
      </c>
      <c r="H24" s="42">
        <f>'Beat 41'!H24+'Beat 42'!H24+'Beat 43'!H24+'Beat 44'!H24+'Beat 45'!H24+'Beat 46'!H24</f>
        <v>48.885245901639337</v>
      </c>
      <c r="I24" s="111">
        <f>'Beat 41'!I24+'Beat 42'!I24+'Beat 43'!I24+'Beat 44'!I24+'Beat 45'!I24+'Beat 46'!I24</f>
        <v>228</v>
      </c>
      <c r="J24" s="2">
        <f>'Beat 41'!J24+'Beat 42'!J24+'Beat 43'!J24+'Beat 44'!J24+'Beat 45'!J24+'Beat 46'!J24</f>
        <v>241</v>
      </c>
      <c r="K24" s="2">
        <f>'Beat 41'!K24+'Beat 42'!K24+'Beat 43'!K24+'Beat 44'!K24+'Beat 45'!K24+'Beat 46'!K24</f>
        <v>236</v>
      </c>
      <c r="L24" s="52">
        <f t="shared" si="10"/>
        <v>-13</v>
      </c>
      <c r="M24" s="53">
        <f t="shared" si="11"/>
        <v>-8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41'!F25+'Beat 42'!F25+'Beat 43'!F25+'Beat 44'!F25+'Beat 45'!F25+'Beat 46'!F25</f>
        <v>14</v>
      </c>
      <c r="D25" s="2">
        <f>'Beat 41'!E25+'Beat 42'!E25+'Beat 43'!E25+'Beat 44'!E25+'Beat 45'!E25+'Beat 46'!E25</f>
        <v>10</v>
      </c>
      <c r="E25" s="42">
        <f>H25/4</f>
        <v>4.9918032786885247</v>
      </c>
      <c r="F25" s="106">
        <f>'Beat 41'!G25+'Beat 42'!G25+'Beat 43'!G25+'Beat 44'!G25+'Beat 45'!G25+'Beat 46'!G25</f>
        <v>43</v>
      </c>
      <c r="G25" s="263">
        <f>'Previous 28 Days'!G6</f>
        <v>20</v>
      </c>
      <c r="H25" s="42">
        <f>'Beat 41'!H25+'Beat 42'!H25+'Beat 43'!H25+'Beat 44'!H25+'Beat 45'!H25+'Beat 46'!H25</f>
        <v>19.967213114754099</v>
      </c>
      <c r="I25" s="111">
        <f>'Beat 41'!I25+'Beat 42'!I25+'Beat 43'!I25+'Beat 44'!I25+'Beat 45'!I25+'Beat 46'!I25</f>
        <v>132</v>
      </c>
      <c r="J25" s="2">
        <f>'Beat 41'!J25+'Beat 42'!J25+'Beat 43'!J25+'Beat 44'!J25+'Beat 45'!J25+'Beat 46'!J25</f>
        <v>83</v>
      </c>
      <c r="K25" s="2">
        <f>'Beat 41'!K25+'Beat 42'!K25+'Beat 43'!K25+'Beat 44'!K25+'Beat 45'!K25+'Beat 46'!K25</f>
        <v>96</v>
      </c>
      <c r="L25" s="52">
        <f t="shared" si="10"/>
        <v>49</v>
      </c>
      <c r="M25" s="53">
        <f t="shared" si="11"/>
        <v>36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41'!F26+'Beat 42'!F26+'Beat 43'!F26+'Beat 44'!F26+'Beat 45'!F26+'Beat 46'!F26</f>
        <v>0</v>
      </c>
      <c r="D26" s="2">
        <f>'Beat 41'!E26+'Beat 42'!E26+'Beat 43'!E26+'Beat 44'!E26+'Beat 45'!E26+'Beat 46'!E26</f>
        <v>1</v>
      </c>
      <c r="E26" s="42">
        <f t="shared" si="9"/>
        <v>2.180327868852459</v>
      </c>
      <c r="F26" s="106">
        <f>'Beat 41'!G26+'Beat 42'!G26+'Beat 43'!G26+'Beat 44'!G26+'Beat 45'!G26+'Beat 46'!G26</f>
        <v>3</v>
      </c>
      <c r="G26" s="263">
        <f>'Previous 28 Days'!I6</f>
        <v>1</v>
      </c>
      <c r="H26" s="42">
        <f>'Beat 41'!H26+'Beat 42'!H26+'Beat 43'!H26+'Beat 44'!H26+'Beat 45'!H26+'Beat 46'!H26</f>
        <v>8.721311475409836</v>
      </c>
      <c r="I26" s="111">
        <f>'Beat 41'!I26+'Beat 42'!I26+'Beat 43'!I26+'Beat 44'!I26+'Beat 45'!I26+'Beat 46'!I26</f>
        <v>24</v>
      </c>
      <c r="J26" s="2">
        <f>'Beat 41'!J26+'Beat 42'!J26+'Beat 43'!J26+'Beat 44'!J26+'Beat 45'!J26+'Beat 46'!J26</f>
        <v>33</v>
      </c>
      <c r="K26" s="2">
        <f>'Beat 41'!K26+'Beat 42'!K26+'Beat 43'!K26+'Beat 44'!K26+'Beat 45'!K26+'Beat 46'!K26</f>
        <v>32</v>
      </c>
      <c r="L26" s="52">
        <f t="shared" si="10"/>
        <v>-9</v>
      </c>
      <c r="M26" s="53">
        <f t="shared" si="11"/>
        <v>-8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">
      <c r="A27" s="19"/>
      <c r="B27" s="10" t="s">
        <v>67</v>
      </c>
      <c r="C27" s="103">
        <f>'Beat 41'!F27+'Beat 42'!F27+'Beat 43'!F27+'Beat 44'!F27+'Beat 45'!F27+'Beat 46'!F27</f>
        <v>3</v>
      </c>
      <c r="D27" s="2">
        <f>'Beat 41'!E27+'Beat 42'!E27+'Beat 43'!E27+'Beat 44'!E27+'Beat 45'!E27+'Beat 46'!E27</f>
        <v>8</v>
      </c>
      <c r="E27" s="42">
        <f>H27/4</f>
        <v>3.1939890710382515</v>
      </c>
      <c r="F27" s="106">
        <f>'Beat 41'!G27+'Beat 42'!G27+'Beat 43'!G27+'Beat 44'!G27+'Beat 45'!G27+'Beat 46'!G27</f>
        <v>17</v>
      </c>
      <c r="G27" s="263">
        <f>'Previous 28 Days'!H6</f>
        <v>14</v>
      </c>
      <c r="H27" s="42">
        <f>'Beat 41'!H27+'Beat 42'!H27+'Beat 43'!H27+'Beat 44'!H27+'Beat 45'!H27+'Beat 46'!H27</f>
        <v>12.775956284153006</v>
      </c>
      <c r="I27" s="111">
        <f>'Beat 41'!I27+'Beat 42'!I27+'Beat 43'!I27+'Beat 44'!I27+'Beat 45'!I27+'Beat 46'!I27</f>
        <v>67</v>
      </c>
      <c r="J27" s="2">
        <f>'Beat 41'!J27+'Beat 42'!J27+'Beat 43'!J27+'Beat 44'!J27+'Beat 45'!J27+'Beat 46'!J27</f>
        <v>39</v>
      </c>
      <c r="K27" s="2">
        <f>'Beat 41'!K27+'Beat 42'!K27+'Beat 43'!K27+'Beat 44'!K27+'Beat 45'!K27+'Beat 46'!K27</f>
        <v>65</v>
      </c>
      <c r="L27" s="52">
        <f>I27-J27</f>
        <v>28</v>
      </c>
      <c r="M27" s="53">
        <f>I27-K27</f>
        <v>2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">
      <c r="A28" s="19"/>
      <c r="B28" s="10" t="s">
        <v>34</v>
      </c>
      <c r="C28" s="103">
        <f>'Beat 41'!F28+'Beat 42'!F28+'Beat 43'!F28+'Beat 44'!F28+'Beat 45'!F28+'Beat 46'!F28</f>
        <v>0</v>
      </c>
      <c r="D28" s="2">
        <f>'Beat 41'!E28+'Beat 42'!E28+'Beat 43'!E28+'Beat 44'!E28+'Beat 45'!E28+'Beat 46'!E28</f>
        <v>0</v>
      </c>
      <c r="E28" s="42">
        <f t="shared" si="9"/>
        <v>0.40163934426229508</v>
      </c>
      <c r="F28" s="106">
        <f>'Beat 41'!G28+'Beat 42'!G28+'Beat 43'!G28+'Beat 44'!G28+'Beat 45'!G28+'Beat 46'!G28</f>
        <v>2</v>
      </c>
      <c r="G28" s="263">
        <f>'Previous 28 Days'!K6</f>
        <v>1</v>
      </c>
      <c r="H28" s="42">
        <f>'Beat 41'!H28+'Beat 42'!H28+'Beat 43'!H28+'Beat 44'!H28+'Beat 45'!H28+'Beat 46'!H28</f>
        <v>1.6065573770491803</v>
      </c>
      <c r="I28" s="111">
        <f>'Beat 41'!I28+'Beat 42'!I28+'Beat 43'!I28+'Beat 44'!I28+'Beat 45'!I28+'Beat 46'!I28</f>
        <v>9</v>
      </c>
      <c r="J28" s="2">
        <f>'Beat 41'!J28+'Beat 42'!J28+'Beat 43'!J28+'Beat 44'!J28+'Beat 45'!J28+'Beat 46'!J28</f>
        <v>5</v>
      </c>
      <c r="K28" s="2">
        <f>'Beat 41'!K28+'Beat 42'!K28+'Beat 43'!K28+'Beat 44'!K28+'Beat 45'!K28+'Beat 46'!K28</f>
        <v>9</v>
      </c>
      <c r="L28" s="52">
        <f t="shared" si="10"/>
        <v>4</v>
      </c>
      <c r="M28" s="53">
        <f t="shared" si="11"/>
        <v>0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">
      <c r="A29" s="19"/>
      <c r="B29" s="10" t="s">
        <v>8</v>
      </c>
      <c r="C29" s="103">
        <f>'Beat 41'!F29+'Beat 42'!F29+'Beat 43'!F29+'Beat 44'!F29+'Beat 45'!F29+'Beat 46'!F29</f>
        <v>5</v>
      </c>
      <c r="D29" s="2">
        <f>'Beat 41'!E29+'Beat 42'!E29+'Beat 43'!E29+'Beat 44'!E29+'Beat 45'!E29+'Beat 46'!E29</f>
        <v>5</v>
      </c>
      <c r="E29" s="42">
        <f t="shared" si="9"/>
        <v>2.1420765027322406</v>
      </c>
      <c r="F29" s="106">
        <f>'Beat 41'!G29+'Beat 42'!G29+'Beat 43'!G29+'Beat 44'!G29+'Beat 45'!G29+'Beat 46'!G29</f>
        <v>14</v>
      </c>
      <c r="G29" s="263">
        <f>'Previous 28 Days'!B6</f>
        <v>11</v>
      </c>
      <c r="H29" s="42">
        <f>'Beat 41'!H29+'Beat 42'!H29+'Beat 43'!H29+'Beat 44'!H29+'Beat 45'!H29+'Beat 46'!H29</f>
        <v>8.5683060109289624</v>
      </c>
      <c r="I29" s="111">
        <f>'Beat 41'!I29+'Beat 42'!I29+'Beat 43'!I29+'Beat 44'!I29+'Beat 45'!I29+'Beat 46'!I29</f>
        <v>47</v>
      </c>
      <c r="J29" s="2">
        <f>'Beat 41'!J29+'Beat 42'!J29+'Beat 43'!J29+'Beat 44'!J29+'Beat 45'!J29+'Beat 46'!J29</f>
        <v>40</v>
      </c>
      <c r="K29" s="2">
        <f>'Beat 41'!K29+'Beat 42'!K29+'Beat 43'!K29+'Beat 44'!K29+'Beat 45'!K29+'Beat 46'!K29</f>
        <v>60</v>
      </c>
      <c r="L29" s="52">
        <f t="shared" si="10"/>
        <v>7</v>
      </c>
      <c r="M29" s="53">
        <f>I29-K29</f>
        <v>-13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">
      <c r="A30" s="19"/>
      <c r="B30" s="14" t="s">
        <v>5</v>
      </c>
      <c r="C30" s="108">
        <f t="shared" ref="C30:K30" si="12">SUM(C21:C29)</f>
        <v>37</v>
      </c>
      <c r="D30" s="13">
        <f t="shared" si="12"/>
        <v>46</v>
      </c>
      <c r="E30" s="44">
        <f t="shared" si="12"/>
        <v>30.122950819672134</v>
      </c>
      <c r="F30" s="108">
        <f t="shared" si="12"/>
        <v>152</v>
      </c>
      <c r="G30" s="13">
        <f t="shared" si="12"/>
        <v>118</v>
      </c>
      <c r="H30" s="44">
        <f t="shared" si="12"/>
        <v>120.49180327868854</v>
      </c>
      <c r="I30" s="108">
        <f t="shared" si="12"/>
        <v>582</v>
      </c>
      <c r="J30" s="13">
        <f t="shared" si="12"/>
        <v>510</v>
      </c>
      <c r="K30" s="47">
        <f t="shared" si="12"/>
        <v>591</v>
      </c>
      <c r="L30" s="54">
        <f>(I30-J30)/J30</f>
        <v>0.14117647058823529</v>
      </c>
      <c r="M30" s="55">
        <f>(I30-K30)/K30</f>
        <v>-1.5228426395939087E-2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5" thickBot="1" x14ac:dyDescent="0.25">
      <c r="A31" s="19"/>
      <c r="B31" s="11" t="s">
        <v>6</v>
      </c>
      <c r="C31" s="104">
        <f>C30+C19</f>
        <v>39</v>
      </c>
      <c r="D31" s="12">
        <f>D30+D19</f>
        <v>49</v>
      </c>
      <c r="E31" s="45">
        <f>E19+E30</f>
        <v>33.03063103525713</v>
      </c>
      <c r="F31" s="104">
        <f>F30+F19</f>
        <v>160</v>
      </c>
      <c r="G31" s="12">
        <f>G30+G19</f>
        <v>128</v>
      </c>
      <c r="H31" s="45">
        <f>H19+H30</f>
        <v>132.12252414102852</v>
      </c>
      <c r="I31" s="104">
        <f>I30+I19</f>
        <v>622</v>
      </c>
      <c r="J31" s="12">
        <f>J30+J19</f>
        <v>562</v>
      </c>
      <c r="K31" s="46">
        <f>K30+K19</f>
        <v>625</v>
      </c>
      <c r="L31" s="54">
        <f>(I31-J31)/J31</f>
        <v>0.10676156583629894</v>
      </c>
      <c r="M31" s="55">
        <f>(I31-K31)/K31</f>
        <v>-4.7999999999999996E-3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60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199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233</v>
      </c>
      <c r="D40" s="250" t="s">
        <v>222</v>
      </c>
      <c r="E40" s="96" t="s">
        <v>181</v>
      </c>
      <c r="F40" s="95" t="s">
        <v>234</v>
      </c>
      <c r="G40" s="253">
        <v>42826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service'!E6</f>
        <v>81</v>
      </c>
      <c r="D41" s="89">
        <f>+'Calls for service'!E14</f>
        <v>92</v>
      </c>
      <c r="E41" s="66">
        <f>+'Calls for service'!E30</f>
        <v>91</v>
      </c>
      <c r="F41" s="71">
        <f>+'Calls for service'!O6</f>
        <v>327</v>
      </c>
      <c r="G41" s="71">
        <f>+'Calls for service'!O14</f>
        <v>309</v>
      </c>
      <c r="H41" s="66">
        <f>+'Calls for service'!O30</f>
        <v>364</v>
      </c>
      <c r="I41" s="71">
        <f>+'Calls for service'!Y22</f>
        <v>1420</v>
      </c>
      <c r="J41" s="71">
        <f>+'Calls for service'!Y14</f>
        <v>1414</v>
      </c>
      <c r="K41" s="66">
        <f>+'Calls for service'!Y30</f>
        <v>1462.6666666666667</v>
      </c>
      <c r="L41" s="91">
        <f>+I41-J41</f>
        <v>6</v>
      </c>
      <c r="M41" s="56">
        <f>+I41-K41</f>
        <v>-42.666666666666742</v>
      </c>
      <c r="N41" s="18"/>
    </row>
    <row r="42" spans="1:14" x14ac:dyDescent="0.2">
      <c r="A42" s="19"/>
      <c r="B42" s="10" t="s">
        <v>52</v>
      </c>
      <c r="C42" s="90">
        <f>+'Calls for service'!E5</f>
        <v>228</v>
      </c>
      <c r="D42" s="90">
        <f>+'Calls for service'!E13</f>
        <v>223</v>
      </c>
      <c r="E42" s="67">
        <f>+'Calls for service'!E29</f>
        <v>246.53424657534248</v>
      </c>
      <c r="F42" s="71">
        <f>+'Calls for service'!O5</f>
        <v>890</v>
      </c>
      <c r="G42" s="71">
        <f>+'Calls for service'!O13</f>
        <v>899</v>
      </c>
      <c r="H42" s="67">
        <f>+'Calls for service'!O29</f>
        <v>986.13698630136992</v>
      </c>
      <c r="I42" s="71">
        <f>+'Calls for service'!Y21</f>
        <v>3848</v>
      </c>
      <c r="J42" s="71">
        <f>+'Calls for service'!Y13</f>
        <v>3993</v>
      </c>
      <c r="K42" s="67">
        <f>+'Calls for service'!Y29</f>
        <v>4024</v>
      </c>
      <c r="L42" s="76">
        <f>+I42-J42</f>
        <v>-145</v>
      </c>
      <c r="M42" s="53">
        <f>+I42-K42</f>
        <v>-176</v>
      </c>
      <c r="N42" s="18"/>
    </row>
    <row r="43" spans="1:14" x14ac:dyDescent="0.2">
      <c r="A43" s="19"/>
      <c r="B43" s="10" t="s">
        <v>53</v>
      </c>
      <c r="C43" s="90">
        <f>+'Calls for service'!E4</f>
        <v>233</v>
      </c>
      <c r="D43" s="90">
        <f>+'Calls for service'!E12</f>
        <v>279</v>
      </c>
      <c r="E43" s="67">
        <f>+'Calls for service'!E28</f>
        <v>245.53698630136986</v>
      </c>
      <c r="F43" s="71">
        <f>+'Calls for service'!O4</f>
        <v>991</v>
      </c>
      <c r="G43" s="71">
        <f>+'Calls for service'!O12</f>
        <v>898</v>
      </c>
      <c r="H43" s="67">
        <f>+'Calls for service'!O28</f>
        <v>982.14794520547946</v>
      </c>
      <c r="I43" s="71">
        <f>+'Calls for service'!Y20</f>
        <v>3911</v>
      </c>
      <c r="J43" s="71">
        <f>+'Calls for service'!Y12</f>
        <v>3866</v>
      </c>
      <c r="K43" s="67">
        <f>+'Calls for service'!Y28</f>
        <v>3951.6666666666665</v>
      </c>
      <c r="L43" s="76">
        <f>+I43-J43</f>
        <v>45</v>
      </c>
      <c r="M43" s="53">
        <f>+I43-K43</f>
        <v>-40.666666666666515</v>
      </c>
      <c r="N43" s="18"/>
    </row>
    <row r="44" spans="1:14" ht="13.5" thickBot="1" x14ac:dyDescent="0.25">
      <c r="A44" s="19"/>
      <c r="B44" s="11" t="s">
        <v>54</v>
      </c>
      <c r="C44" s="46">
        <f t="shared" ref="C44:H44" si="13">SUM(C41:C43)</f>
        <v>542</v>
      </c>
      <c r="D44" s="46">
        <f>SUM(D41:D43)</f>
        <v>594</v>
      </c>
      <c r="E44" s="68">
        <f t="shared" si="13"/>
        <v>583.07123287671232</v>
      </c>
      <c r="F44" s="73">
        <f t="shared" si="13"/>
        <v>2208</v>
      </c>
      <c r="G44" s="46">
        <f t="shared" si="13"/>
        <v>2106</v>
      </c>
      <c r="H44" s="68">
        <f t="shared" si="13"/>
        <v>2332.2849315068493</v>
      </c>
      <c r="I44" s="73">
        <f>SUM(I41:I43)</f>
        <v>9179</v>
      </c>
      <c r="J44" s="46">
        <f>SUM(J41:J43)</f>
        <v>9273</v>
      </c>
      <c r="K44" s="68">
        <f>SUM(K41:K43)</f>
        <v>9438.3333333333339</v>
      </c>
      <c r="L44" s="330">
        <f>+(I44-J44)/J44</f>
        <v>-1.0136956756173838E-2</v>
      </c>
      <c r="M44" s="331">
        <f>+(I44-K44)/K44</f>
        <v>-2.7476602507504919E-2</v>
      </c>
      <c r="N44" s="18"/>
    </row>
    <row r="45" spans="1:14" s="215" customFormat="1" x14ac:dyDescent="0.2">
      <c r="A45" s="19"/>
      <c r="B45" s="343" t="s">
        <v>75</v>
      </c>
      <c r="C45" s="299">
        <f>'Beat 41'!F41+'Beat 42'!F41+'Beat 43'!F41+'Beat 44'!F41+'Beat 45'!F41+'Beat 46'!F41</f>
        <v>16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16</v>
      </c>
      <c r="G45" s="298">
        <f>'Previous 28 Days'!B17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0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0</v>
      </c>
      <c r="M45" s="333">
        <f>I45-K45</f>
        <v>0</v>
      </c>
      <c r="N45" s="216"/>
    </row>
    <row r="46" spans="1:14" ht="13.5" thickBot="1" x14ac:dyDescent="0.25">
      <c r="A46" s="19"/>
      <c r="B46" s="344" t="s">
        <v>76</v>
      </c>
      <c r="C46" s="299">
        <f>'Beat 41'!F42+'Beat 42'!F42+'Beat 43'!F42+'Beat 44'!F42+'Beat 45'!F42+'Beat 46'!F42</f>
        <v>10</v>
      </c>
      <c r="D46" s="298">
        <f>'Beat 41'!E42+'Beat 42'!E42+'Beat 43'!E42+'Beat 44'!E42+'Beat 45'!E42+'Beat 46'!E42</f>
        <v>12</v>
      </c>
      <c r="E46" s="335">
        <f>H46/4</f>
        <v>8.8027397260273972</v>
      </c>
      <c r="F46" s="348">
        <f>'Beat 41'!G42+'Beat 42'!G42+'Beat 43'!G42+'Beat 44'!G42+'Beat 45'!G42+'Beat 46'!G42</f>
        <v>43</v>
      </c>
      <c r="G46" s="298">
        <f>'Previous 28 Days'!C17</f>
        <v>30</v>
      </c>
      <c r="H46" s="341">
        <f>'Beat 41'!H42+'Beat 42'!H42+'Beat 43'!H42+'Beat 44'!H42+'Beat 45'!H42+'Beat 46'!H42</f>
        <v>35.210958904109589</v>
      </c>
      <c r="I46" s="348">
        <f>'Beat 41'!I42+'Beat 42'!I42+'Beat 43'!I42+'Beat 44'!I42+'Beat 45'!I42+'Beat 46'!I42</f>
        <v>143</v>
      </c>
      <c r="J46" s="348">
        <f>'Beat 41'!J42+'Beat 42'!J42+'Beat 43'!J42+'Beat 44'!J42+'Beat 45'!J42+'Beat 46'!J42</f>
        <v>138</v>
      </c>
      <c r="K46" s="487">
        <f>'Beat 41'!K42+'Beat 42'!K42+'Beat 43'!K42+'Beat 44'!K42+'Beat 45'!K42+'Beat 46'!K42</f>
        <v>113</v>
      </c>
      <c r="L46" s="337">
        <f>I46-J46</f>
        <v>5</v>
      </c>
      <c r="M46" s="208">
        <f>I46-K46</f>
        <v>30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7" type="noConversion"/>
  <conditionalFormatting sqref="M47">
    <cfRule type="cellIs" dxfId="54" priority="7" stopIfTrue="1" operator="greaterThan">
      <formula>0</formula>
    </cfRule>
  </conditionalFormatting>
  <conditionalFormatting sqref="C11:C12 C21:C29 C14:C18">
    <cfRule type="cellIs" dxfId="53" priority="9" stopIfTrue="1" operator="greaterThan">
      <formula>E11+P11</formula>
    </cfRule>
    <cfRule type="cellIs" dxfId="52" priority="10" stopIfTrue="1" operator="lessThan">
      <formula>E11-P11</formula>
    </cfRule>
  </conditionalFormatting>
  <conditionalFormatting sqref="F21:F29 F11:F12 F14:F18">
    <cfRule type="cellIs" dxfId="51" priority="11" stopIfTrue="1" operator="greaterThan">
      <formula>H11+Q11</formula>
    </cfRule>
    <cfRule type="cellIs" dxfId="50" priority="12" stopIfTrue="1" operator="lessThan">
      <formula>H11-Q11</formula>
    </cfRule>
  </conditionalFormatting>
  <conditionalFormatting sqref="I11:I12 I21:I29 I14:I18">
    <cfRule type="cellIs" dxfId="49" priority="13" stopIfTrue="1" operator="greaterThan">
      <formula>J11+R11</formula>
    </cfRule>
    <cfRule type="cellIs" dxfId="48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topLeftCell="A2" zoomScaleNormal="100" workbookViewId="0">
      <selection activeCell="T40" sqref="T40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2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2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2" s="464" customFormat="1" ht="15" x14ac:dyDescent="0.25">
      <c r="A3" s="463">
        <v>11</v>
      </c>
      <c r="B3" s="635">
        <v>1</v>
      </c>
      <c r="C3" s="635">
        <v>0</v>
      </c>
      <c r="D3" s="635"/>
      <c r="E3" s="635">
        <v>0</v>
      </c>
      <c r="F3" s="635"/>
      <c r="G3" s="635">
        <v>0</v>
      </c>
      <c r="H3" s="635">
        <v>1</v>
      </c>
      <c r="I3" s="635">
        <v>0</v>
      </c>
      <c r="J3" s="635">
        <v>0</v>
      </c>
      <c r="K3" s="635">
        <v>0</v>
      </c>
      <c r="L3" s="635">
        <v>0</v>
      </c>
      <c r="M3" s="635">
        <v>0</v>
      </c>
      <c r="N3" s="635">
        <v>0</v>
      </c>
      <c r="O3" s="635">
        <v>0</v>
      </c>
      <c r="P3" s="635">
        <v>0</v>
      </c>
      <c r="Q3" s="635">
        <v>0</v>
      </c>
      <c r="S3" s="327"/>
      <c r="T3" s="327"/>
    </row>
    <row r="4" spans="1:22" s="464" customFormat="1" ht="15" x14ac:dyDescent="0.25">
      <c r="A4" s="463">
        <v>12</v>
      </c>
      <c r="B4" s="635">
        <v>0</v>
      </c>
      <c r="C4" s="635">
        <v>0</v>
      </c>
      <c r="D4" s="635"/>
      <c r="E4" s="635">
        <v>0</v>
      </c>
      <c r="F4" s="635"/>
      <c r="G4" s="635">
        <v>1</v>
      </c>
      <c r="H4" s="635">
        <v>0</v>
      </c>
      <c r="I4" s="635">
        <v>0</v>
      </c>
      <c r="J4" s="635">
        <v>0</v>
      </c>
      <c r="K4" s="635">
        <v>0</v>
      </c>
      <c r="L4" s="635">
        <v>0</v>
      </c>
      <c r="M4" s="635">
        <v>0</v>
      </c>
      <c r="N4" s="635">
        <v>1</v>
      </c>
      <c r="O4" s="635">
        <v>0</v>
      </c>
      <c r="P4" s="635">
        <v>0</v>
      </c>
      <c r="Q4" s="635">
        <v>0</v>
      </c>
      <c r="S4" s="327"/>
      <c r="T4" s="327"/>
    </row>
    <row r="5" spans="1:22" s="464" customFormat="1" ht="15" x14ac:dyDescent="0.25">
      <c r="A5" s="463">
        <v>13</v>
      </c>
      <c r="B5" s="635">
        <v>0</v>
      </c>
      <c r="C5" s="635">
        <v>0</v>
      </c>
      <c r="D5" s="635"/>
      <c r="E5" s="635">
        <v>0</v>
      </c>
      <c r="F5" s="635"/>
      <c r="G5" s="635">
        <v>0</v>
      </c>
      <c r="H5" s="635">
        <v>2</v>
      </c>
      <c r="I5" s="635">
        <v>1</v>
      </c>
      <c r="J5" s="635">
        <v>1</v>
      </c>
      <c r="K5" s="635">
        <v>1</v>
      </c>
      <c r="L5" s="635">
        <v>0</v>
      </c>
      <c r="M5" s="635">
        <v>0</v>
      </c>
      <c r="N5" s="635">
        <v>0</v>
      </c>
      <c r="O5" s="635">
        <v>0</v>
      </c>
      <c r="P5" s="635">
        <v>0</v>
      </c>
      <c r="Q5" s="635">
        <v>1</v>
      </c>
      <c r="S5" s="327"/>
      <c r="T5" s="327">
        <v>1</v>
      </c>
    </row>
    <row r="6" spans="1:22" s="464" customFormat="1" ht="15" x14ac:dyDescent="0.25">
      <c r="A6" s="463">
        <v>14</v>
      </c>
      <c r="B6" s="635">
        <v>0</v>
      </c>
      <c r="C6" s="635">
        <v>0</v>
      </c>
      <c r="D6" s="635"/>
      <c r="E6" s="635">
        <v>0</v>
      </c>
      <c r="F6" s="635"/>
      <c r="G6" s="635">
        <v>1</v>
      </c>
      <c r="H6" s="635">
        <v>0</v>
      </c>
      <c r="I6" s="635">
        <v>1</v>
      </c>
      <c r="J6" s="635">
        <v>0</v>
      </c>
      <c r="K6" s="635">
        <v>1</v>
      </c>
      <c r="L6" s="635">
        <v>0</v>
      </c>
      <c r="M6" s="635">
        <v>0</v>
      </c>
      <c r="N6" s="635">
        <v>3</v>
      </c>
      <c r="O6" s="635">
        <v>0</v>
      </c>
      <c r="P6" s="635">
        <v>0</v>
      </c>
      <c r="Q6" s="635">
        <v>1</v>
      </c>
      <c r="S6" s="327"/>
      <c r="T6" s="327">
        <v>3</v>
      </c>
    </row>
    <row r="7" spans="1:22" s="464" customFormat="1" ht="15" x14ac:dyDescent="0.25">
      <c r="A7" s="463">
        <v>15</v>
      </c>
      <c r="B7" s="634"/>
      <c r="C7" s="634"/>
      <c r="D7" s="634"/>
      <c r="E7" s="634"/>
      <c r="F7" s="634"/>
      <c r="G7" s="634"/>
      <c r="H7" s="634"/>
      <c r="I7" s="634"/>
      <c r="J7" s="634"/>
      <c r="K7" s="634"/>
      <c r="L7" s="634"/>
      <c r="M7" s="634"/>
      <c r="N7" s="634"/>
      <c r="O7" s="634"/>
      <c r="P7" s="634"/>
      <c r="Q7"/>
      <c r="S7" s="327"/>
      <c r="T7" s="327">
        <v>2</v>
      </c>
    </row>
    <row r="8" spans="1:22" s="464" customFormat="1" ht="15" x14ac:dyDescent="0.25">
      <c r="A8" s="463">
        <v>16</v>
      </c>
      <c r="B8" s="636">
        <v>1</v>
      </c>
      <c r="C8" s="636">
        <v>1</v>
      </c>
      <c r="D8" s="636"/>
      <c r="E8" s="636">
        <v>0</v>
      </c>
      <c r="F8" s="636"/>
      <c r="G8" s="636">
        <v>0</v>
      </c>
      <c r="H8" s="636">
        <v>2</v>
      </c>
      <c r="I8" s="636">
        <v>1</v>
      </c>
      <c r="J8" s="636">
        <v>0</v>
      </c>
      <c r="K8" s="636">
        <v>1</v>
      </c>
      <c r="L8" s="636">
        <v>0</v>
      </c>
      <c r="M8" s="636">
        <v>0</v>
      </c>
      <c r="N8" s="636">
        <v>0</v>
      </c>
      <c r="O8" s="636">
        <v>0</v>
      </c>
      <c r="P8" s="636">
        <v>4</v>
      </c>
      <c r="Q8" s="636">
        <v>0</v>
      </c>
      <c r="S8" s="327"/>
      <c r="T8" s="327">
        <v>1</v>
      </c>
    </row>
    <row r="9" spans="1:22" x14ac:dyDescent="0.2">
      <c r="S9" s="463"/>
      <c r="T9" s="463"/>
      <c r="U9" s="464"/>
      <c r="V9" s="464"/>
    </row>
    <row r="10" spans="1:22" s="464" customFormat="1" ht="15" x14ac:dyDescent="0.25">
      <c r="A10" s="463">
        <v>21</v>
      </c>
      <c r="B10" s="637">
        <v>1</v>
      </c>
      <c r="C10" s="637">
        <v>0</v>
      </c>
      <c r="D10" s="637"/>
      <c r="E10" s="637">
        <v>2</v>
      </c>
      <c r="F10" s="637"/>
      <c r="G10" s="637">
        <v>1</v>
      </c>
      <c r="H10" s="637">
        <v>0</v>
      </c>
      <c r="I10" s="637">
        <v>0</v>
      </c>
      <c r="J10" s="637">
        <v>0</v>
      </c>
      <c r="K10" s="637">
        <v>0</v>
      </c>
      <c r="L10" s="637">
        <v>0</v>
      </c>
      <c r="M10" s="637">
        <v>0</v>
      </c>
      <c r="N10" s="637">
        <v>1</v>
      </c>
      <c r="O10" s="637">
        <v>0</v>
      </c>
      <c r="P10" s="637">
        <v>0</v>
      </c>
      <c r="Q10" s="637">
        <v>0</v>
      </c>
      <c r="S10"/>
      <c r="T10" s="327">
        <v>3</v>
      </c>
    </row>
    <row r="11" spans="1:22" s="464" customFormat="1" ht="15" x14ac:dyDescent="0.25">
      <c r="A11" s="463">
        <v>22</v>
      </c>
      <c r="B11" s="637">
        <v>0</v>
      </c>
      <c r="C11" s="637">
        <v>0</v>
      </c>
      <c r="D11" s="637"/>
      <c r="E11" s="637">
        <v>0</v>
      </c>
      <c r="F11" s="637"/>
      <c r="G11" s="637">
        <v>0</v>
      </c>
      <c r="H11" s="637">
        <v>0</v>
      </c>
      <c r="I11" s="637">
        <v>1</v>
      </c>
      <c r="J11" s="637">
        <v>1</v>
      </c>
      <c r="K11" s="637">
        <v>0</v>
      </c>
      <c r="L11" s="637">
        <v>0</v>
      </c>
      <c r="M11" s="637">
        <v>0</v>
      </c>
      <c r="N11" s="637">
        <v>0</v>
      </c>
      <c r="O11" s="637">
        <v>0</v>
      </c>
      <c r="P11" s="637">
        <v>1</v>
      </c>
      <c r="Q11" s="637">
        <v>0</v>
      </c>
      <c r="S11" s="552"/>
      <c r="T11" s="327">
        <v>1</v>
      </c>
    </row>
    <row r="12" spans="1:22" s="464" customFormat="1" ht="15" x14ac:dyDescent="0.25">
      <c r="A12" s="463">
        <v>23</v>
      </c>
      <c r="B12" s="637">
        <v>0</v>
      </c>
      <c r="C12" s="637">
        <v>0</v>
      </c>
      <c r="D12" s="637"/>
      <c r="E12" s="637">
        <v>0</v>
      </c>
      <c r="F12" s="637"/>
      <c r="G12" s="637">
        <v>0</v>
      </c>
      <c r="H12" s="637">
        <v>2</v>
      </c>
      <c r="I12" s="637">
        <v>1</v>
      </c>
      <c r="J12" s="637">
        <v>0</v>
      </c>
      <c r="K12" s="637">
        <v>1</v>
      </c>
      <c r="L12" s="637">
        <v>0</v>
      </c>
      <c r="M12" s="637">
        <v>0</v>
      </c>
      <c r="N12" s="637">
        <v>2</v>
      </c>
      <c r="O12" s="637">
        <v>0</v>
      </c>
      <c r="P12" s="637">
        <v>0</v>
      </c>
      <c r="Q12" s="637">
        <v>0</v>
      </c>
      <c r="S12" s="546"/>
      <c r="T12" s="327"/>
    </row>
    <row r="13" spans="1:22" s="464" customFormat="1" ht="15" x14ac:dyDescent="0.25">
      <c r="A13" s="463">
        <v>24</v>
      </c>
      <c r="B13" s="637">
        <v>1</v>
      </c>
      <c r="C13" s="637">
        <v>0</v>
      </c>
      <c r="D13" s="637"/>
      <c r="E13" s="637">
        <v>0</v>
      </c>
      <c r="F13" s="637"/>
      <c r="G13" s="637">
        <v>2</v>
      </c>
      <c r="H13" s="637">
        <v>0</v>
      </c>
      <c r="I13" s="637">
        <v>1</v>
      </c>
      <c r="J13" s="637">
        <v>0</v>
      </c>
      <c r="K13" s="637">
        <v>0</v>
      </c>
      <c r="L13" s="637">
        <v>0</v>
      </c>
      <c r="M13" s="637">
        <v>0</v>
      </c>
      <c r="N13" s="637">
        <v>0</v>
      </c>
      <c r="O13" s="637">
        <v>0</v>
      </c>
      <c r="P13" s="637">
        <v>0</v>
      </c>
      <c r="Q13" s="637">
        <v>1</v>
      </c>
      <c r="S13" s="546">
        <v>1</v>
      </c>
      <c r="T13" s="327"/>
    </row>
    <row r="14" spans="1:22" s="464" customFormat="1" ht="15" x14ac:dyDescent="0.25">
      <c r="A14" s="463">
        <v>25</v>
      </c>
      <c r="B14" s="637">
        <v>0</v>
      </c>
      <c r="C14" s="637">
        <v>0</v>
      </c>
      <c r="D14" s="637"/>
      <c r="E14" s="637">
        <v>1</v>
      </c>
      <c r="F14" s="637"/>
      <c r="G14" s="637">
        <v>0</v>
      </c>
      <c r="H14" s="637">
        <v>2</v>
      </c>
      <c r="I14" s="637">
        <v>0</v>
      </c>
      <c r="J14" s="637">
        <v>0</v>
      </c>
      <c r="K14" s="637">
        <v>0</v>
      </c>
      <c r="L14" s="637">
        <v>0</v>
      </c>
      <c r="M14" s="637">
        <v>0</v>
      </c>
      <c r="N14" s="637">
        <v>0</v>
      </c>
      <c r="O14" s="637">
        <v>0</v>
      </c>
      <c r="P14" s="637">
        <v>0</v>
      </c>
      <c r="Q14" s="637">
        <v>0</v>
      </c>
      <c r="S14" s="327">
        <v>6</v>
      </c>
      <c r="T14" s="327">
        <v>2</v>
      </c>
    </row>
    <row r="15" spans="1:22" s="464" customFormat="1" ht="15" x14ac:dyDescent="0.25">
      <c r="A15" s="463">
        <v>26</v>
      </c>
      <c r="B15" s="637">
        <v>0</v>
      </c>
      <c r="C15" s="637">
        <v>0</v>
      </c>
      <c r="D15" s="637"/>
      <c r="E15" s="637">
        <v>0</v>
      </c>
      <c r="F15" s="637"/>
      <c r="G15" s="637">
        <v>1</v>
      </c>
      <c r="H15" s="637">
        <v>0</v>
      </c>
      <c r="I15" s="637">
        <v>1</v>
      </c>
      <c r="J15" s="637">
        <v>0</v>
      </c>
      <c r="K15" s="637">
        <v>2</v>
      </c>
      <c r="L15" s="637">
        <v>0</v>
      </c>
      <c r="M15" s="637">
        <v>0</v>
      </c>
      <c r="N15" s="637">
        <v>0</v>
      </c>
      <c r="O15" s="637">
        <v>0</v>
      </c>
      <c r="P15" s="637">
        <v>0</v>
      </c>
      <c r="Q15" s="637">
        <v>1</v>
      </c>
      <c r="S15" s="327">
        <v>4</v>
      </c>
      <c r="T15" s="327">
        <v>4</v>
      </c>
    </row>
    <row r="16" spans="1:22" x14ac:dyDescent="0.2">
      <c r="D16" s="537"/>
      <c r="S16" s="463"/>
      <c r="T16" s="463"/>
      <c r="U16" s="464"/>
      <c r="V16" s="464"/>
    </row>
    <row r="17" spans="1:22" s="464" customFormat="1" ht="15" x14ac:dyDescent="0.25">
      <c r="A17" s="463">
        <v>31</v>
      </c>
      <c r="B17" s="638">
        <v>1</v>
      </c>
      <c r="C17" s="638">
        <v>0</v>
      </c>
      <c r="D17" s="638"/>
      <c r="E17" s="638">
        <v>3</v>
      </c>
      <c r="F17" s="638"/>
      <c r="G17" s="638">
        <v>0</v>
      </c>
      <c r="H17" s="638">
        <v>0</v>
      </c>
      <c r="I17" s="638">
        <v>0</v>
      </c>
      <c r="J17" s="638">
        <v>0</v>
      </c>
      <c r="K17" s="638">
        <v>0</v>
      </c>
      <c r="L17" s="638">
        <v>2</v>
      </c>
      <c r="M17" s="638">
        <v>0</v>
      </c>
      <c r="N17" s="638">
        <v>1</v>
      </c>
      <c r="O17" s="638">
        <v>1</v>
      </c>
      <c r="P17" s="638">
        <v>0</v>
      </c>
      <c r="Q17" s="638">
        <v>0</v>
      </c>
      <c r="S17" s="327">
        <v>7</v>
      </c>
      <c r="T17" s="327">
        <v>9</v>
      </c>
    </row>
    <row r="18" spans="1:22" s="464" customFormat="1" ht="15" x14ac:dyDescent="0.25">
      <c r="A18" s="463">
        <v>32</v>
      </c>
      <c r="B18" s="638">
        <v>0</v>
      </c>
      <c r="C18" s="638">
        <v>1</v>
      </c>
      <c r="D18" s="638"/>
      <c r="E18" s="638">
        <v>0</v>
      </c>
      <c r="F18" s="638"/>
      <c r="G18" s="638">
        <v>0</v>
      </c>
      <c r="H18" s="638">
        <v>0</v>
      </c>
      <c r="I18" s="638">
        <v>2</v>
      </c>
      <c r="J18" s="638">
        <v>0</v>
      </c>
      <c r="K18" s="638">
        <v>0</v>
      </c>
      <c r="L18" s="638">
        <v>0</v>
      </c>
      <c r="M18" s="638">
        <v>0</v>
      </c>
      <c r="N18" s="638">
        <v>0</v>
      </c>
      <c r="O18" s="638">
        <v>0</v>
      </c>
      <c r="P18" s="638">
        <v>1</v>
      </c>
      <c r="Q18" s="638">
        <v>0</v>
      </c>
      <c r="S18" s="327"/>
      <c r="T18" s="327"/>
    </row>
    <row r="19" spans="1:22" s="464" customFormat="1" ht="15" x14ac:dyDescent="0.25">
      <c r="A19" s="463">
        <v>33</v>
      </c>
      <c r="B19" s="638">
        <v>0</v>
      </c>
      <c r="C19" s="638">
        <v>0</v>
      </c>
      <c r="D19" s="638"/>
      <c r="E19" s="638">
        <v>0</v>
      </c>
      <c r="F19" s="638"/>
      <c r="G19" s="638">
        <v>2</v>
      </c>
      <c r="H19" s="638">
        <v>1</v>
      </c>
      <c r="I19" s="638">
        <v>2</v>
      </c>
      <c r="J19" s="638">
        <v>1</v>
      </c>
      <c r="K19" s="638">
        <v>0</v>
      </c>
      <c r="L19" s="638">
        <v>0</v>
      </c>
      <c r="M19" s="638">
        <v>0</v>
      </c>
      <c r="N19" s="638">
        <v>0</v>
      </c>
      <c r="O19" s="638">
        <v>0</v>
      </c>
      <c r="P19" s="638">
        <v>1</v>
      </c>
      <c r="Q19" s="638">
        <v>0</v>
      </c>
      <c r="S19" s="327"/>
      <c r="T19" s="327"/>
    </row>
    <row r="20" spans="1:22" s="464" customFormat="1" ht="15" x14ac:dyDescent="0.25">
      <c r="A20" s="463">
        <v>34</v>
      </c>
      <c r="B20" s="638">
        <v>0</v>
      </c>
      <c r="C20" s="638">
        <v>0</v>
      </c>
      <c r="D20" s="638"/>
      <c r="E20" s="638">
        <v>0</v>
      </c>
      <c r="F20" s="638"/>
      <c r="G20" s="638">
        <v>7</v>
      </c>
      <c r="H20" s="638">
        <v>3</v>
      </c>
      <c r="I20" s="638">
        <v>4</v>
      </c>
      <c r="J20" s="638">
        <v>0</v>
      </c>
      <c r="K20" s="638">
        <v>0</v>
      </c>
      <c r="L20" s="638">
        <v>0</v>
      </c>
      <c r="M20" s="638">
        <v>1</v>
      </c>
      <c r="N20" s="638">
        <v>1</v>
      </c>
      <c r="O20" s="638">
        <v>0</v>
      </c>
      <c r="P20" s="638">
        <v>0</v>
      </c>
      <c r="Q20" s="638">
        <v>0</v>
      </c>
      <c r="S20" s="327"/>
      <c r="T20" s="327">
        <v>1</v>
      </c>
    </row>
    <row r="21" spans="1:22" s="464" customFormat="1" ht="15" x14ac:dyDescent="0.25">
      <c r="A21" s="463">
        <v>35</v>
      </c>
      <c r="B21" s="638">
        <v>0</v>
      </c>
      <c r="C21" s="638">
        <v>0</v>
      </c>
      <c r="D21" s="638"/>
      <c r="E21" s="638">
        <v>0</v>
      </c>
      <c r="F21" s="638"/>
      <c r="G21" s="638">
        <v>0</v>
      </c>
      <c r="H21" s="638">
        <v>0</v>
      </c>
      <c r="I21" s="638">
        <v>0</v>
      </c>
      <c r="J21" s="638">
        <v>0</v>
      </c>
      <c r="K21" s="638">
        <v>1</v>
      </c>
      <c r="L21" s="638">
        <v>0</v>
      </c>
      <c r="M21" s="638">
        <v>0</v>
      </c>
      <c r="N21" s="638">
        <v>0</v>
      </c>
      <c r="O21" s="638">
        <v>1</v>
      </c>
      <c r="P21" s="638">
        <v>0</v>
      </c>
      <c r="Q21" s="638">
        <v>1</v>
      </c>
      <c r="S21" s="327">
        <v>4</v>
      </c>
      <c r="T21" s="327">
        <v>2</v>
      </c>
    </row>
    <row r="22" spans="1:22" s="464" customFormat="1" ht="15" x14ac:dyDescent="0.25">
      <c r="A22" s="463">
        <v>37</v>
      </c>
      <c r="B22" s="638">
        <v>0</v>
      </c>
      <c r="C22" s="638">
        <v>0</v>
      </c>
      <c r="D22" s="638"/>
      <c r="E22" s="638">
        <v>1</v>
      </c>
      <c r="F22" s="638"/>
      <c r="G22" s="638">
        <v>3</v>
      </c>
      <c r="H22" s="638">
        <v>0</v>
      </c>
      <c r="I22" s="638">
        <v>1</v>
      </c>
      <c r="J22" s="638">
        <v>0</v>
      </c>
      <c r="K22" s="638">
        <v>0</v>
      </c>
      <c r="L22" s="638">
        <v>0</v>
      </c>
      <c r="M22" s="638">
        <v>0</v>
      </c>
      <c r="N22" s="638">
        <v>1</v>
      </c>
      <c r="O22" s="638">
        <v>0</v>
      </c>
      <c r="P22" s="638">
        <v>0</v>
      </c>
      <c r="Q22" s="638">
        <v>0</v>
      </c>
      <c r="S22" s="327"/>
      <c r="T22" s="327">
        <v>1</v>
      </c>
    </row>
    <row r="23" spans="1:22" x14ac:dyDescent="0.2">
      <c r="S23" s="463"/>
      <c r="T23" s="463"/>
      <c r="U23" s="464"/>
      <c r="V23" s="464"/>
    </row>
    <row r="24" spans="1:22" s="464" customFormat="1" ht="15" x14ac:dyDescent="0.25">
      <c r="A24" s="463">
        <v>41</v>
      </c>
      <c r="B24" s="639">
        <v>0</v>
      </c>
      <c r="C24" s="639">
        <v>0</v>
      </c>
      <c r="D24" s="639"/>
      <c r="E24" s="639">
        <v>0</v>
      </c>
      <c r="F24" s="639"/>
      <c r="G24" s="639">
        <v>1</v>
      </c>
      <c r="H24" s="639">
        <v>2</v>
      </c>
      <c r="I24" s="639">
        <v>0</v>
      </c>
      <c r="J24" s="639">
        <v>0</v>
      </c>
      <c r="K24" s="639">
        <v>0</v>
      </c>
      <c r="L24" s="639">
        <v>0</v>
      </c>
      <c r="M24" s="639">
        <v>0</v>
      </c>
      <c r="N24" s="639">
        <v>0</v>
      </c>
      <c r="O24" s="639">
        <v>0</v>
      </c>
      <c r="P24" s="639">
        <v>0</v>
      </c>
      <c r="Q24" s="639">
        <v>0</v>
      </c>
      <c r="S24" s="327"/>
      <c r="T24" s="327">
        <v>1</v>
      </c>
    </row>
    <row r="25" spans="1:22" s="464" customFormat="1" ht="15" x14ac:dyDescent="0.25">
      <c r="A25" s="463">
        <v>42</v>
      </c>
      <c r="B25" s="639">
        <v>2</v>
      </c>
      <c r="C25" s="639">
        <v>2</v>
      </c>
      <c r="D25" s="639"/>
      <c r="E25" s="639">
        <v>1</v>
      </c>
      <c r="F25" s="639"/>
      <c r="G25" s="639">
        <v>3</v>
      </c>
      <c r="H25" s="639">
        <v>2</v>
      </c>
      <c r="I25" s="639">
        <v>1</v>
      </c>
      <c r="J25" s="639">
        <v>1</v>
      </c>
      <c r="K25" s="639">
        <v>0</v>
      </c>
      <c r="L25" s="639">
        <v>0</v>
      </c>
      <c r="M25" s="639">
        <v>0</v>
      </c>
      <c r="N25" s="639">
        <v>1</v>
      </c>
      <c r="O25" s="639">
        <v>0</v>
      </c>
      <c r="P25" s="639">
        <v>2</v>
      </c>
      <c r="Q25" s="639">
        <v>0</v>
      </c>
      <c r="S25" s="327"/>
      <c r="T25" s="327">
        <v>3</v>
      </c>
    </row>
    <row r="26" spans="1:22" s="464" customFormat="1" ht="15" x14ac:dyDescent="0.25">
      <c r="A26" s="463">
        <v>43</v>
      </c>
      <c r="B26" s="639">
        <v>1</v>
      </c>
      <c r="C26" s="639">
        <v>1</v>
      </c>
      <c r="D26" s="639"/>
      <c r="E26" s="639">
        <v>0</v>
      </c>
      <c r="F26" s="639"/>
      <c r="G26" s="639">
        <v>2</v>
      </c>
      <c r="H26" s="639">
        <v>2</v>
      </c>
      <c r="I26" s="639">
        <v>0</v>
      </c>
      <c r="J26" s="639">
        <v>0</v>
      </c>
      <c r="K26" s="639">
        <v>0</v>
      </c>
      <c r="L26" s="639">
        <v>0</v>
      </c>
      <c r="M26" s="639">
        <v>0</v>
      </c>
      <c r="N26" s="639">
        <v>0</v>
      </c>
      <c r="O26" s="639">
        <v>0</v>
      </c>
      <c r="P26" s="639">
        <v>11</v>
      </c>
      <c r="Q26" s="639">
        <v>1</v>
      </c>
      <c r="S26" s="327"/>
      <c r="T26" s="327">
        <v>2</v>
      </c>
    </row>
    <row r="27" spans="1:22" s="464" customFormat="1" ht="15" x14ac:dyDescent="0.25">
      <c r="A27" s="463">
        <v>44</v>
      </c>
      <c r="B27" s="639">
        <v>0</v>
      </c>
      <c r="C27" s="639">
        <v>1</v>
      </c>
      <c r="D27" s="639"/>
      <c r="E27" s="639">
        <v>0</v>
      </c>
      <c r="F27" s="639"/>
      <c r="G27" s="639">
        <v>3</v>
      </c>
      <c r="H27" s="639">
        <v>0</v>
      </c>
      <c r="I27" s="639">
        <v>0</v>
      </c>
      <c r="J27" s="639">
        <v>0</v>
      </c>
      <c r="K27" s="639">
        <v>0</v>
      </c>
      <c r="L27" s="639">
        <v>0</v>
      </c>
      <c r="M27" s="639">
        <v>0</v>
      </c>
      <c r="N27" s="639">
        <v>1</v>
      </c>
      <c r="O27" s="639">
        <v>0</v>
      </c>
      <c r="P27" s="639">
        <v>0</v>
      </c>
      <c r="Q27" s="639">
        <v>0</v>
      </c>
      <c r="S27" s="327"/>
      <c r="T27" s="327">
        <v>1</v>
      </c>
    </row>
    <row r="28" spans="1:22" s="464" customFormat="1" ht="15" x14ac:dyDescent="0.25">
      <c r="A28" s="463">
        <v>45</v>
      </c>
      <c r="B28" s="639">
        <v>0</v>
      </c>
      <c r="C28" s="639">
        <v>0</v>
      </c>
      <c r="D28" s="639"/>
      <c r="E28" s="639">
        <v>0</v>
      </c>
      <c r="F28" s="639"/>
      <c r="G28" s="639">
        <v>0</v>
      </c>
      <c r="H28" s="639">
        <v>0</v>
      </c>
      <c r="I28" s="639">
        <v>0</v>
      </c>
      <c r="J28" s="639">
        <v>0</v>
      </c>
      <c r="K28" s="639">
        <v>0</v>
      </c>
      <c r="L28" s="639">
        <v>0</v>
      </c>
      <c r="M28" s="639">
        <v>0</v>
      </c>
      <c r="N28" s="639">
        <v>2</v>
      </c>
      <c r="O28" s="639">
        <v>0</v>
      </c>
      <c r="P28" s="639">
        <v>0</v>
      </c>
      <c r="Q28" s="639">
        <v>0</v>
      </c>
      <c r="S28" s="327"/>
      <c r="T28" s="327">
        <v>1</v>
      </c>
    </row>
    <row r="29" spans="1:22" s="464" customFormat="1" ht="15" x14ac:dyDescent="0.25">
      <c r="A29" s="463">
        <v>46</v>
      </c>
      <c r="B29" s="639">
        <v>2</v>
      </c>
      <c r="C29" s="639">
        <v>0</v>
      </c>
      <c r="D29" s="639"/>
      <c r="E29" s="639">
        <v>0</v>
      </c>
      <c r="F29" s="639"/>
      <c r="G29" s="639">
        <v>1</v>
      </c>
      <c r="H29" s="639">
        <v>2</v>
      </c>
      <c r="I29" s="639">
        <v>0</v>
      </c>
      <c r="J29" s="639">
        <v>0</v>
      </c>
      <c r="K29" s="639">
        <v>0</v>
      </c>
      <c r="L29" s="639">
        <v>0</v>
      </c>
      <c r="M29" s="639">
        <v>0</v>
      </c>
      <c r="N29" s="639">
        <v>0</v>
      </c>
      <c r="O29" s="639">
        <v>0</v>
      </c>
      <c r="P29" s="639">
        <v>1</v>
      </c>
      <c r="Q29" s="639">
        <v>0</v>
      </c>
      <c r="S29" s="327"/>
      <c r="T29" s="579">
        <v>4</v>
      </c>
    </row>
    <row r="30" spans="1:22" x14ac:dyDescent="0.2"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640">
        <v>3</v>
      </c>
      <c r="C31" s="640">
        <v>1</v>
      </c>
      <c r="D31" s="640"/>
      <c r="E31" s="640">
        <v>0</v>
      </c>
      <c r="F31" s="640"/>
      <c r="G31" s="640">
        <v>0</v>
      </c>
      <c r="H31" s="640">
        <v>0</v>
      </c>
      <c r="I31" s="640">
        <v>0</v>
      </c>
      <c r="J31" s="640">
        <v>1</v>
      </c>
      <c r="K31" s="640">
        <v>1</v>
      </c>
      <c r="L31" s="640">
        <v>0</v>
      </c>
      <c r="M31" s="640">
        <v>0</v>
      </c>
      <c r="N31" s="640">
        <v>1</v>
      </c>
      <c r="O31" s="640">
        <v>0</v>
      </c>
      <c r="P31" s="640">
        <v>4</v>
      </c>
      <c r="Q31" s="640">
        <v>1</v>
      </c>
      <c r="S31" s="532">
        <v>1</v>
      </c>
      <c r="T31" s="327">
        <v>3</v>
      </c>
    </row>
    <row r="32" spans="1:22" s="464" customFormat="1" ht="15" x14ac:dyDescent="0.25">
      <c r="A32" s="463">
        <v>52</v>
      </c>
      <c r="B32" s="640">
        <v>1</v>
      </c>
      <c r="C32" s="640">
        <v>0</v>
      </c>
      <c r="D32" s="640"/>
      <c r="E32" s="640">
        <v>0</v>
      </c>
      <c r="F32" s="640"/>
      <c r="G32" s="640">
        <v>0</v>
      </c>
      <c r="H32" s="640">
        <v>0</v>
      </c>
      <c r="I32" s="640">
        <v>0</v>
      </c>
      <c r="J32" s="640">
        <v>0</v>
      </c>
      <c r="K32" s="640">
        <v>0</v>
      </c>
      <c r="L32" s="640">
        <v>0</v>
      </c>
      <c r="M32" s="640">
        <v>0</v>
      </c>
      <c r="N32" s="640">
        <v>1</v>
      </c>
      <c r="O32" s="640">
        <v>0</v>
      </c>
      <c r="P32" s="640">
        <v>0</v>
      </c>
      <c r="Q32" s="640">
        <v>0</v>
      </c>
      <c r="S32" s="327"/>
      <c r="T32" s="327"/>
    </row>
    <row r="33" spans="1:22" s="464" customFormat="1" ht="15" x14ac:dyDescent="0.25">
      <c r="A33" s="463">
        <v>53</v>
      </c>
      <c r="B33" s="640">
        <v>0</v>
      </c>
      <c r="C33" s="640">
        <v>0</v>
      </c>
      <c r="D33" s="640"/>
      <c r="E33" s="640">
        <v>1</v>
      </c>
      <c r="F33" s="640"/>
      <c r="G33" s="640">
        <v>1</v>
      </c>
      <c r="H33" s="640">
        <v>0</v>
      </c>
      <c r="I33" s="640">
        <v>0</v>
      </c>
      <c r="J33" s="640">
        <v>1</v>
      </c>
      <c r="K33" s="640">
        <v>0</v>
      </c>
      <c r="L33" s="640">
        <v>0</v>
      </c>
      <c r="M33" s="640">
        <v>0</v>
      </c>
      <c r="N33" s="640">
        <v>0</v>
      </c>
      <c r="O33" s="640">
        <v>0</v>
      </c>
      <c r="P33" s="640">
        <v>0</v>
      </c>
      <c r="Q33" s="640">
        <v>0</v>
      </c>
      <c r="S33" s="327"/>
      <c r="T33" s="327">
        <v>3</v>
      </c>
    </row>
    <row r="34" spans="1:22" s="464" customFormat="1" ht="15" x14ac:dyDescent="0.25">
      <c r="A34" s="463">
        <v>54</v>
      </c>
      <c r="B34" s="640">
        <v>1</v>
      </c>
      <c r="C34" s="640">
        <v>0</v>
      </c>
      <c r="D34" s="640"/>
      <c r="E34" s="640">
        <v>0</v>
      </c>
      <c r="F34" s="640"/>
      <c r="G34" s="640">
        <v>0</v>
      </c>
      <c r="H34" s="640">
        <v>2</v>
      </c>
      <c r="I34" s="640">
        <v>1</v>
      </c>
      <c r="J34" s="640">
        <v>0</v>
      </c>
      <c r="K34" s="640">
        <v>0</v>
      </c>
      <c r="L34" s="640">
        <v>0</v>
      </c>
      <c r="M34" s="640">
        <v>0</v>
      </c>
      <c r="N34" s="640">
        <v>0</v>
      </c>
      <c r="O34" s="640">
        <v>0</v>
      </c>
      <c r="P34" s="640">
        <v>3</v>
      </c>
      <c r="Q34" s="640">
        <v>0</v>
      </c>
      <c r="S34" s="327"/>
      <c r="T34" s="327">
        <v>2</v>
      </c>
    </row>
    <row r="35" spans="1:22" s="464" customFormat="1" ht="15" x14ac:dyDescent="0.25">
      <c r="A35" s="463">
        <v>55</v>
      </c>
      <c r="B35" s="640">
        <v>0</v>
      </c>
      <c r="C35" s="640">
        <v>0</v>
      </c>
      <c r="D35" s="640"/>
      <c r="E35" s="640">
        <v>0</v>
      </c>
      <c r="F35" s="640"/>
      <c r="G35" s="640">
        <v>0</v>
      </c>
      <c r="H35" s="640">
        <v>1</v>
      </c>
      <c r="I35" s="640">
        <v>1</v>
      </c>
      <c r="J35" s="640">
        <v>0</v>
      </c>
      <c r="K35" s="640">
        <v>0</v>
      </c>
      <c r="L35" s="640">
        <v>0</v>
      </c>
      <c r="M35" s="640">
        <v>0</v>
      </c>
      <c r="N35" s="640">
        <v>4</v>
      </c>
      <c r="O35" s="640">
        <v>0</v>
      </c>
      <c r="P35" s="640">
        <v>1</v>
      </c>
      <c r="Q35" s="640">
        <v>0</v>
      </c>
      <c r="S35" s="327"/>
      <c r="T35" s="327"/>
    </row>
    <row r="36" spans="1:22" s="464" customFormat="1" ht="15" x14ac:dyDescent="0.25">
      <c r="A36" s="463">
        <v>56</v>
      </c>
      <c r="B36" s="640">
        <v>0</v>
      </c>
      <c r="C36" s="640">
        <v>0</v>
      </c>
      <c r="D36" s="640"/>
      <c r="E36" s="640">
        <v>0</v>
      </c>
      <c r="F36" s="640"/>
      <c r="G36" s="640">
        <v>0</v>
      </c>
      <c r="H36" s="640">
        <v>0</v>
      </c>
      <c r="I36" s="640">
        <v>0</v>
      </c>
      <c r="J36" s="640">
        <v>0</v>
      </c>
      <c r="K36" s="640">
        <v>0</v>
      </c>
      <c r="L36" s="640">
        <v>0</v>
      </c>
      <c r="M36" s="640">
        <v>0</v>
      </c>
      <c r="N36" s="640">
        <v>0</v>
      </c>
      <c r="O36" s="640">
        <v>1</v>
      </c>
      <c r="P36" s="640">
        <v>0</v>
      </c>
      <c r="Q36" s="640">
        <v>0</v>
      </c>
      <c r="S36" s="327"/>
      <c r="T36" s="327"/>
    </row>
    <row r="37" spans="1:22" x14ac:dyDescent="0.2">
      <c r="S37" s="464"/>
      <c r="T37" s="464"/>
      <c r="U37" s="464"/>
      <c r="V37" s="464"/>
    </row>
    <row r="38" spans="1:22" s="464" customFormat="1" ht="15" x14ac:dyDescent="0.25">
      <c r="A38" s="463">
        <v>61</v>
      </c>
      <c r="B38" s="641">
        <v>1</v>
      </c>
      <c r="C38" s="641">
        <v>0</v>
      </c>
      <c r="D38" s="641"/>
      <c r="E38" s="641">
        <v>0</v>
      </c>
      <c r="F38" s="641"/>
      <c r="G38" s="641">
        <v>1</v>
      </c>
      <c r="H38" s="641">
        <v>0</v>
      </c>
      <c r="I38" s="641">
        <v>0</v>
      </c>
      <c r="J38" s="641">
        <v>0</v>
      </c>
      <c r="K38" s="641">
        <v>0</v>
      </c>
      <c r="L38" s="641">
        <v>0</v>
      </c>
      <c r="M38" s="641">
        <v>0</v>
      </c>
      <c r="N38" s="641">
        <v>0</v>
      </c>
      <c r="O38" s="641">
        <v>0</v>
      </c>
      <c r="P38" s="641">
        <v>1</v>
      </c>
      <c r="Q38" s="641">
        <v>0</v>
      </c>
      <c r="S38" s="327"/>
      <c r="T38" s="327">
        <v>2</v>
      </c>
    </row>
    <row r="39" spans="1:22" s="464" customFormat="1" ht="15" x14ac:dyDescent="0.25">
      <c r="A39" s="463">
        <v>62</v>
      </c>
      <c r="B39" s="641">
        <v>0</v>
      </c>
      <c r="C39" s="641">
        <v>0</v>
      </c>
      <c r="D39" s="641"/>
      <c r="E39" s="641">
        <v>0</v>
      </c>
      <c r="F39" s="641"/>
      <c r="G39" s="641">
        <v>1</v>
      </c>
      <c r="H39" s="641">
        <v>3</v>
      </c>
      <c r="I39" s="641">
        <v>0</v>
      </c>
      <c r="J39" s="641">
        <v>1</v>
      </c>
      <c r="K39" s="641">
        <v>0</v>
      </c>
      <c r="L39" s="641">
        <v>0</v>
      </c>
      <c r="M39" s="641">
        <v>0</v>
      </c>
      <c r="N39" s="641">
        <v>2</v>
      </c>
      <c r="O39" s="641">
        <v>0</v>
      </c>
      <c r="P39" s="641">
        <v>0</v>
      </c>
      <c r="Q39" s="641">
        <v>0</v>
      </c>
      <c r="S39" s="327"/>
      <c r="T39" s="327">
        <v>3</v>
      </c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topLeftCell="A25"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Data'!F56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8" si="2">SUM(C12:F12)</f>
        <v>0</v>
      </c>
      <c r="H12" s="491">
        <f>'2016 Data'!M56</f>
        <v>0.22950819672131148</v>
      </c>
      <c r="I12" s="403">
        <f>'YTD 2017'!M24</f>
        <v>0</v>
      </c>
      <c r="J12" s="401">
        <f>'YTD 2016'!M24</f>
        <v>3</v>
      </c>
      <c r="K12" s="401">
        <f>'YTD 2015'!M24</f>
        <v>0</v>
      </c>
      <c r="L12" s="404">
        <f t="shared" si="0"/>
        <v>-3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Rapes'!E27</f>
        <v>0</v>
      </c>
      <c r="D13" s="556">
        <f>'New Rapes'!D27</f>
        <v>0</v>
      </c>
      <c r="E13" s="555">
        <f>'New Rapes'!C27</f>
        <v>0</v>
      </c>
      <c r="F13" s="555">
        <f>'New Rapes'!B27</f>
        <v>0</v>
      </c>
      <c r="G13" s="452">
        <f t="shared" si="2"/>
        <v>0</v>
      </c>
      <c r="H13" s="576">
        <v>0</v>
      </c>
      <c r="I13" s="557">
        <f>'New Rapes'!G27</f>
        <v>0</v>
      </c>
      <c r="J13" s="556">
        <f>'New Rapes'!H27</f>
        <v>0</v>
      </c>
      <c r="K13" s="556">
        <f>'New Rapes'!I27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ago'!D24</f>
        <v>0</v>
      </c>
      <c r="D14" s="401">
        <f>'3 weeks ago'!D24</f>
        <v>0</v>
      </c>
      <c r="E14" s="402">
        <f>'Previous Week'!D24</f>
        <v>0</v>
      </c>
      <c r="F14" s="402">
        <f>'Last Week'!D24</f>
        <v>0</v>
      </c>
      <c r="G14" s="452">
        <f t="shared" si="2"/>
        <v>0</v>
      </c>
      <c r="H14" s="491">
        <f>'2016 Data'!D56</f>
        <v>0.38251366120218577</v>
      </c>
      <c r="I14" s="403">
        <f>'YTD 2017'!D24</f>
        <v>5</v>
      </c>
      <c r="J14" s="401">
        <f>'YTD 2016'!D24</f>
        <v>3</v>
      </c>
      <c r="K14" s="401">
        <f>'YTD 2015'!D24</f>
        <v>1</v>
      </c>
      <c r="L14" s="404">
        <f t="shared" si="0"/>
        <v>2</v>
      </c>
      <c r="M14" s="407">
        <f t="shared" si="1"/>
        <v>4</v>
      </c>
      <c r="N14" s="380"/>
    </row>
    <row r="15" spans="1:14" x14ac:dyDescent="0.25">
      <c r="A15" s="375"/>
      <c r="B15" s="406" t="s">
        <v>30</v>
      </c>
      <c r="C15" s="401">
        <f>'4 weeks ago'!Q24</f>
        <v>0</v>
      </c>
      <c r="D15" s="401">
        <f>'3 weeks ago'!Q24</f>
        <v>0</v>
      </c>
      <c r="E15" s="402">
        <f>'Previous Week'!Q24</f>
        <v>0</v>
      </c>
      <c r="F15" s="402">
        <f>'Last Week'!Q24</f>
        <v>0</v>
      </c>
      <c r="G15" s="452">
        <f t="shared" si="2"/>
        <v>0</v>
      </c>
      <c r="H15" s="491">
        <f>'2016 Data'!Q56</f>
        <v>0.30601092896174864</v>
      </c>
      <c r="I15" s="403">
        <f>'YTD 2017'!Q24</f>
        <v>0</v>
      </c>
      <c r="J15" s="401">
        <f>'YTD 2016'!Q24</f>
        <v>3</v>
      </c>
      <c r="K15" s="401">
        <f>'YTD 2015'!Q24</f>
        <v>0</v>
      </c>
      <c r="L15" s="404">
        <f t="shared" si="0"/>
        <v>-3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Data'!O56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Data'!E56</f>
        <v>0.30601092896174864</v>
      </c>
      <c r="I17" s="403">
        <f>'YTD 2017'!E24</f>
        <v>0</v>
      </c>
      <c r="J17" s="401">
        <f>'YTD 2016'!E24</f>
        <v>1</v>
      </c>
      <c r="K17" s="401">
        <f>'YTD 2015'!E24</f>
        <v>0</v>
      </c>
      <c r="L17" s="404">
        <f t="shared" si="0"/>
        <v>-1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0</v>
      </c>
      <c r="G18" s="452">
        <f t="shared" si="2"/>
        <v>0</v>
      </c>
      <c r="H18" s="491">
        <f>'2016 Data'!J56</f>
        <v>0.45901639344262296</v>
      </c>
      <c r="I18" s="403">
        <f>'YTD 2017'!J24</f>
        <v>0</v>
      </c>
      <c r="J18" s="401">
        <f>'YTD 2016'!J24</f>
        <v>3</v>
      </c>
      <c r="K18" s="401">
        <f>'YTD 2015'!J24</f>
        <v>0</v>
      </c>
      <c r="L18" s="404">
        <f t="shared" si="0"/>
        <v>-3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0</v>
      </c>
      <c r="E19" s="409">
        <f t="shared" si="3"/>
        <v>0</v>
      </c>
      <c r="F19" s="410">
        <f t="shared" si="3"/>
        <v>0</v>
      </c>
      <c r="G19" s="453">
        <f t="shared" si="3"/>
        <v>0</v>
      </c>
      <c r="H19" s="492">
        <f t="shared" ref="H19" si="4">SUM(H11:H18)</f>
        <v>1.7595628415300548</v>
      </c>
      <c r="I19" s="411">
        <f t="shared" si="3"/>
        <v>5</v>
      </c>
      <c r="J19" s="409">
        <f t="shared" si="3"/>
        <v>13</v>
      </c>
      <c r="K19" s="409">
        <f t="shared" si="3"/>
        <v>2</v>
      </c>
      <c r="L19" s="412">
        <f>(I19-J19)/J19</f>
        <v>-0.61538461538461542</v>
      </c>
      <c r="M19" s="413">
        <f>(I19-K19)/K19</f>
        <v>1.5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ago'!C24</f>
        <v>0</v>
      </c>
      <c r="D21" s="401">
        <f>'3 weeks ago'!C24</f>
        <v>1</v>
      </c>
      <c r="E21" s="402">
        <f>'Previous Week'!C24</f>
        <v>0</v>
      </c>
      <c r="F21" s="402">
        <f>'Last Week'!C24</f>
        <v>0</v>
      </c>
      <c r="G21" s="452">
        <f t="shared" ref="G21:G29" si="5">SUM(C21:F21)</f>
        <v>1</v>
      </c>
      <c r="H21" s="491">
        <f>'2016 Data'!C56</f>
        <v>1.7595628415300546</v>
      </c>
      <c r="I21" s="416">
        <f>'YTD 2017'!C24</f>
        <v>5</v>
      </c>
      <c r="J21" s="401">
        <f>'YTD 2016'!C24</f>
        <v>10</v>
      </c>
      <c r="K21" s="401">
        <f>'YTD 2015'!C24</f>
        <v>1</v>
      </c>
      <c r="L21" s="404">
        <f t="shared" ref="L21:L29" si="6">I21-J21</f>
        <v>-5</v>
      </c>
      <c r="M21" s="407">
        <f>I21-K21</f>
        <v>4</v>
      </c>
      <c r="N21" s="380"/>
    </row>
    <row r="22" spans="1:14" x14ac:dyDescent="0.25">
      <c r="A22" s="375"/>
      <c r="B22" s="417" t="s">
        <v>42</v>
      </c>
      <c r="C22" s="401">
        <f>'4 weeks ago'!N24</f>
        <v>0</v>
      </c>
      <c r="D22" s="401">
        <f>'3 weeks ago'!N24</f>
        <v>0</v>
      </c>
      <c r="E22" s="402">
        <f>'Previous Week'!N24</f>
        <v>0</v>
      </c>
      <c r="F22" s="402">
        <f>'Last Week'!N24</f>
        <v>0</v>
      </c>
      <c r="G22" s="452">
        <f t="shared" si="5"/>
        <v>0</v>
      </c>
      <c r="H22" s="491">
        <f>'2016 Data'!N56</f>
        <v>1.1475409836065573</v>
      </c>
      <c r="I22" s="418">
        <f>'YTD 2017'!N24</f>
        <v>5</v>
      </c>
      <c r="J22" s="401">
        <f>'YTD 2016'!N24</f>
        <v>7</v>
      </c>
      <c r="K22" s="401">
        <f>'YTD 2015'!N24</f>
        <v>5</v>
      </c>
      <c r="L22" s="404">
        <f t="shared" si="6"/>
        <v>-2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ago'!L24</f>
        <v>0</v>
      </c>
      <c r="D23" s="401">
        <f>'3 weeks ago'!L24</f>
        <v>0</v>
      </c>
      <c r="E23" s="402">
        <f>'Previous Week'!L24</f>
        <v>0</v>
      </c>
      <c r="F23" s="402">
        <f>'Last Week'!L24</f>
        <v>0</v>
      </c>
      <c r="G23" s="418">
        <f t="shared" si="5"/>
        <v>0</v>
      </c>
      <c r="H23" s="491">
        <f>'2016 Data'!L56</f>
        <v>0</v>
      </c>
      <c r="I23" s="418">
        <f>'YTD 2017'!L24</f>
        <v>0</v>
      </c>
      <c r="J23" s="401">
        <f>'YTD 2016'!L24</f>
        <v>0</v>
      </c>
      <c r="K23" s="401">
        <f>'YTD 2015'!L24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ago'!P24</f>
        <v>0</v>
      </c>
      <c r="D24" s="401">
        <f>'3 weeks ago'!P24</f>
        <v>0</v>
      </c>
      <c r="E24" s="402">
        <f>'Previous Week'!P24</f>
        <v>0</v>
      </c>
      <c r="F24" s="402">
        <f>'Last Week'!P24</f>
        <v>1</v>
      </c>
      <c r="G24" s="403">
        <f t="shared" si="5"/>
        <v>1</v>
      </c>
      <c r="H24" s="491">
        <f>'2016 Data'!P56</f>
        <v>2.3715846994535519</v>
      </c>
      <c r="I24" s="418">
        <f>'YTD 2017'!P24</f>
        <v>12</v>
      </c>
      <c r="J24" s="401">
        <f>'YTD 2016'!P24</f>
        <v>5</v>
      </c>
      <c r="K24" s="401">
        <f>'YTD 2015'!P24</f>
        <v>4</v>
      </c>
      <c r="L24" s="404">
        <f t="shared" si="6"/>
        <v>7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ago'!G24</f>
        <v>0</v>
      </c>
      <c r="D25" s="401">
        <f>'3 weeks ago'!G24</f>
        <v>4</v>
      </c>
      <c r="E25" s="402">
        <f>'Previous Week'!G24</f>
        <v>1</v>
      </c>
      <c r="F25" s="402">
        <f>'Last Week'!G24</f>
        <v>0</v>
      </c>
      <c r="G25" s="403">
        <f t="shared" si="5"/>
        <v>5</v>
      </c>
      <c r="H25" s="491">
        <f>'2016 Data'!G56</f>
        <v>4.5901639344262293</v>
      </c>
      <c r="I25" s="418">
        <f>'YTD 2017'!G24</f>
        <v>22</v>
      </c>
      <c r="J25" s="401">
        <f>'YTD 2016'!G24</f>
        <v>24</v>
      </c>
      <c r="K25" s="401">
        <f>'YTD 2015'!G24</f>
        <v>23</v>
      </c>
      <c r="L25" s="404">
        <f t="shared" si="6"/>
        <v>-2</v>
      </c>
      <c r="M25" s="407">
        <f t="shared" si="7"/>
        <v>-1</v>
      </c>
      <c r="N25" s="380"/>
    </row>
    <row r="26" spans="1:14" x14ac:dyDescent="0.25">
      <c r="A26" s="375"/>
      <c r="B26" s="406" t="s">
        <v>68</v>
      </c>
      <c r="C26" s="401">
        <f>'4 weeks ago'!I24</f>
        <v>0</v>
      </c>
      <c r="D26" s="401">
        <f>'3 weeks ago'!I24</f>
        <v>0</v>
      </c>
      <c r="E26" s="402">
        <f>'Previous Week'!I24</f>
        <v>0</v>
      </c>
      <c r="F26" s="402">
        <f>'Last Week'!I24</f>
        <v>0</v>
      </c>
      <c r="G26" s="452">
        <f t="shared" si="5"/>
        <v>0</v>
      </c>
      <c r="H26" s="491">
        <f>'2016 Data'!I56</f>
        <v>1.6830601092896174</v>
      </c>
      <c r="I26" s="418">
        <f>'YTD 2017'!I24</f>
        <v>4</v>
      </c>
      <c r="J26" s="401">
        <f>'YTD 2016'!I24</f>
        <v>5</v>
      </c>
      <c r="K26" s="401">
        <f>'YTD 2015'!I24</f>
        <v>14</v>
      </c>
      <c r="L26" s="404">
        <f t="shared" si="6"/>
        <v>-1</v>
      </c>
      <c r="M26" s="407">
        <f t="shared" si="7"/>
        <v>-10</v>
      </c>
      <c r="N26" s="380"/>
    </row>
    <row r="27" spans="1:14" x14ac:dyDescent="0.25">
      <c r="A27" s="375"/>
      <c r="B27" s="406" t="s">
        <v>67</v>
      </c>
      <c r="C27" s="401">
        <f>'4 weeks ago'!H24</f>
        <v>0</v>
      </c>
      <c r="D27" s="401">
        <f>'3 weeks ago'!H24</f>
        <v>0</v>
      </c>
      <c r="E27" s="402">
        <f>'Previous Week'!H24</f>
        <v>2</v>
      </c>
      <c r="F27" s="402">
        <f>'Last Week'!H24</f>
        <v>0</v>
      </c>
      <c r="G27" s="452">
        <f t="shared" si="5"/>
        <v>2</v>
      </c>
      <c r="H27" s="491">
        <f>'2016 Data'!H56</f>
        <v>2.2950819672131146</v>
      </c>
      <c r="I27" s="418">
        <f>'YTD 2017'!H24</f>
        <v>12</v>
      </c>
      <c r="J27" s="401">
        <f>'YTD 2016'!H24</f>
        <v>5</v>
      </c>
      <c r="K27" s="401">
        <f>'YTD 2015'!H24</f>
        <v>20</v>
      </c>
      <c r="L27" s="404">
        <f>I27-J27</f>
        <v>7</v>
      </c>
      <c r="M27" s="407">
        <f>I27-K27</f>
        <v>-8</v>
      </c>
      <c r="N27" s="380"/>
    </row>
    <row r="28" spans="1:14" x14ac:dyDescent="0.25">
      <c r="A28" s="375"/>
      <c r="B28" s="406" t="s">
        <v>34</v>
      </c>
      <c r="C28" s="401">
        <f>'4 weeks ago'!K24</f>
        <v>0</v>
      </c>
      <c r="D28" s="401">
        <f>'3 weeks ago'!K24</f>
        <v>0</v>
      </c>
      <c r="E28" s="402">
        <f>'Previous Week'!K24</f>
        <v>0</v>
      </c>
      <c r="F28" s="402">
        <f>'Last Week'!K24</f>
        <v>0</v>
      </c>
      <c r="G28" s="452">
        <f t="shared" si="5"/>
        <v>0</v>
      </c>
      <c r="H28" s="491">
        <f>'2016 Data'!K56</f>
        <v>0.15300546448087432</v>
      </c>
      <c r="I28" s="418">
        <f>'YTD 2017'!K24</f>
        <v>1</v>
      </c>
      <c r="J28" s="401">
        <f>'YTD 2016'!K24</f>
        <v>0</v>
      </c>
      <c r="K28" s="401">
        <f>'YTD 2015'!K24</f>
        <v>2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ago'!B24</f>
        <v>0</v>
      </c>
      <c r="D29" s="401">
        <f>'3 weeks ago'!B24</f>
        <v>0</v>
      </c>
      <c r="E29" s="402">
        <f>'Previous Week'!B24</f>
        <v>0</v>
      </c>
      <c r="F29" s="402">
        <f>'Last Week'!B24</f>
        <v>2</v>
      </c>
      <c r="G29" s="452">
        <f t="shared" si="5"/>
        <v>2</v>
      </c>
      <c r="H29" s="491">
        <f>'2016 Data'!B56</f>
        <v>1.4535519125683061</v>
      </c>
      <c r="I29" s="418">
        <f>'YTD 2017'!B24</f>
        <v>6</v>
      </c>
      <c r="J29" s="401">
        <f>'YTD 2016'!B24</f>
        <v>7</v>
      </c>
      <c r="K29" s="401">
        <f>'YTD 2015'!B24</f>
        <v>12</v>
      </c>
      <c r="L29" s="404">
        <f t="shared" si="6"/>
        <v>-1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0</v>
      </c>
      <c r="D30" s="420">
        <f t="shared" si="8"/>
        <v>5</v>
      </c>
      <c r="E30" s="420">
        <f t="shared" si="8"/>
        <v>3</v>
      </c>
      <c r="F30" s="421">
        <f t="shared" si="8"/>
        <v>3</v>
      </c>
      <c r="G30" s="455">
        <f t="shared" si="8"/>
        <v>11</v>
      </c>
      <c r="H30" s="494">
        <f t="shared" si="8"/>
        <v>15.453551912568305</v>
      </c>
      <c r="I30" s="422">
        <f t="shared" si="8"/>
        <v>67</v>
      </c>
      <c r="J30" s="420">
        <f t="shared" si="8"/>
        <v>63</v>
      </c>
      <c r="K30" s="420">
        <f t="shared" si="8"/>
        <v>81</v>
      </c>
      <c r="L30" s="412">
        <f>(I30-J30)/J30</f>
        <v>6.3492063492063489E-2</v>
      </c>
      <c r="M30" s="413">
        <f>(I30-K30)/K30</f>
        <v>-0.1728395061728395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0</v>
      </c>
      <c r="D31" s="409">
        <f t="shared" si="9"/>
        <v>5</v>
      </c>
      <c r="E31" s="409">
        <f t="shared" si="9"/>
        <v>3</v>
      </c>
      <c r="F31" s="410">
        <f t="shared" si="9"/>
        <v>3</v>
      </c>
      <c r="G31" s="453">
        <f t="shared" si="9"/>
        <v>11</v>
      </c>
      <c r="H31" s="492">
        <f t="shared" si="9"/>
        <v>17.21311475409836</v>
      </c>
      <c r="I31" s="411">
        <f t="shared" si="9"/>
        <v>72</v>
      </c>
      <c r="J31" s="409">
        <f t="shared" si="9"/>
        <v>76</v>
      </c>
      <c r="K31" s="409">
        <f t="shared" si="9"/>
        <v>83</v>
      </c>
      <c r="L31" s="412">
        <f>(I31-J31)/J31</f>
        <v>-5.2631578947368418E-2</v>
      </c>
      <c r="M31" s="413">
        <f>(I31-K31)/K31</f>
        <v>-0.13253012048192772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7</v>
      </c>
      <c r="G41" s="452">
        <f t="shared" ref="G41:G42" si="10">SUM(C41:F41)</f>
        <v>7</v>
      </c>
      <c r="H41" s="501">
        <f>'2016 Data'!R56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ago'!T24</f>
        <v>0</v>
      </c>
      <c r="D42" s="447">
        <f>'3 weeks ago'!T24</f>
        <v>1</v>
      </c>
      <c r="E42" s="446">
        <f>'Previous Week'!T24</f>
        <v>1</v>
      </c>
      <c r="F42" s="460">
        <f>'Last Week'!T24</f>
        <v>0</v>
      </c>
      <c r="G42" s="452">
        <f t="shared" si="10"/>
        <v>2</v>
      </c>
      <c r="H42" s="502">
        <f>'2016 Data'!S56</f>
        <v>1.8410958904109587</v>
      </c>
      <c r="I42" s="448">
        <f>'YTD 2017'!T24</f>
        <v>6</v>
      </c>
      <c r="J42" s="482">
        <f>'YTD 2016'!T24</f>
        <v>11</v>
      </c>
      <c r="K42" s="446">
        <f>'YTD 2015'!T24</f>
        <v>6</v>
      </c>
      <c r="L42" s="412">
        <f>(I42-J42)/J42</f>
        <v>-0.45454545454545453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7" priority="1" stopIfTrue="1" operator="greaterThan">
      <formula>0</formula>
    </cfRule>
  </conditionalFormatting>
  <conditionalFormatting sqref="L32:M32">
    <cfRule type="cellIs" dxfId="4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Data'!F57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Data'!M57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Rapes'!E28</f>
        <v>0</v>
      </c>
      <c r="D13" s="556">
        <f>'New Rapes'!D28</f>
        <v>0</v>
      </c>
      <c r="E13" s="555">
        <f>'New Rapes'!C28</f>
        <v>0</v>
      </c>
      <c r="F13" s="555">
        <f>'New Rapes'!B28</f>
        <v>0</v>
      </c>
      <c r="G13" s="452">
        <f t="shared" ref="G13" si="3">SUM(C13:F13)</f>
        <v>0</v>
      </c>
      <c r="H13" s="576">
        <v>0.38356164383561642</v>
      </c>
      <c r="I13" s="557">
        <f>'New Rapes'!G28</f>
        <v>1</v>
      </c>
      <c r="J13" s="556">
        <f>'New Rapes'!H28</f>
        <v>1</v>
      </c>
      <c r="K13" s="556">
        <f>'New Rapes'!I28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ago'!D25</f>
        <v>0</v>
      </c>
      <c r="D14" s="401">
        <f>'3 weeks ago'!D25</f>
        <v>0</v>
      </c>
      <c r="E14" s="402">
        <f>'Previous Week'!D25</f>
        <v>0</v>
      </c>
      <c r="F14" s="402">
        <f>'Last Week'!D25</f>
        <v>0</v>
      </c>
      <c r="G14" s="452">
        <f t="shared" si="2"/>
        <v>0</v>
      </c>
      <c r="H14" s="491">
        <f>'2016 Data'!D57</f>
        <v>0.61202185792349728</v>
      </c>
      <c r="I14" s="403">
        <f>'YTD 2017'!D25</f>
        <v>1</v>
      </c>
      <c r="J14" s="401">
        <f>'YTD 2016'!D25</f>
        <v>3</v>
      </c>
      <c r="K14" s="401">
        <f>'YTD 2015'!D25</f>
        <v>0</v>
      </c>
      <c r="L14" s="404">
        <f t="shared" si="0"/>
        <v>-2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ago'!Q25</f>
        <v>0</v>
      </c>
      <c r="D15" s="401">
        <f>'3 weeks ago'!Q25</f>
        <v>0</v>
      </c>
      <c r="E15" s="402">
        <f>'Previous Week'!Q25</f>
        <v>0</v>
      </c>
      <c r="F15" s="402">
        <f>'Last Week'!Q25</f>
        <v>0</v>
      </c>
      <c r="G15" s="452">
        <f t="shared" si="2"/>
        <v>0</v>
      </c>
      <c r="H15" s="491">
        <f>'2016 Data'!Q57</f>
        <v>0.91803278688524592</v>
      </c>
      <c r="I15" s="403">
        <f>'YTD 2017'!Q25</f>
        <v>3</v>
      </c>
      <c r="J15" s="401">
        <f>'YTD 2016'!Q25</f>
        <v>4</v>
      </c>
      <c r="K15" s="401">
        <f>'YTD 2015'!Q25</f>
        <v>3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ago'!O25</f>
        <v>0</v>
      </c>
      <c r="D16" s="401">
        <f>'3 weeks ago'!O25</f>
        <v>0</v>
      </c>
      <c r="E16" s="402">
        <f>'Previous Week'!O25</f>
        <v>0</v>
      </c>
      <c r="F16" s="402">
        <f>'Last Week'!O25</f>
        <v>0</v>
      </c>
      <c r="G16" s="452">
        <f t="shared" si="2"/>
        <v>0</v>
      </c>
      <c r="H16" s="491">
        <f>'2016 Data'!O57</f>
        <v>0.22950819672131148</v>
      </c>
      <c r="I16" s="403">
        <f>'YTD 2017'!O25</f>
        <v>1</v>
      </c>
      <c r="J16" s="401">
        <f>'YTD 2016'!O25</f>
        <v>1</v>
      </c>
      <c r="K16" s="401">
        <f>'YTD 2015'!O25</f>
        <v>2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ago'!E25</f>
        <v>0</v>
      </c>
      <c r="D17" s="401">
        <f>'3 weeks ago'!E25</f>
        <v>1</v>
      </c>
      <c r="E17" s="402">
        <f>'Previous Week'!E25</f>
        <v>1</v>
      </c>
      <c r="F17" s="402">
        <f>'Last Week'!E25</f>
        <v>0</v>
      </c>
      <c r="G17" s="452">
        <f t="shared" si="2"/>
        <v>2</v>
      </c>
      <c r="H17" s="491">
        <f>'2016 Data'!E57</f>
        <v>0.53551912568306015</v>
      </c>
      <c r="I17" s="403">
        <f>'YTD 2017'!E25</f>
        <v>3</v>
      </c>
      <c r="J17" s="401">
        <f>'YTD 2016'!E25</f>
        <v>1</v>
      </c>
      <c r="K17" s="401">
        <f>'YTD 2015'!E25</f>
        <v>0</v>
      </c>
      <c r="L17" s="404">
        <f t="shared" si="0"/>
        <v>2</v>
      </c>
      <c r="M17" s="407">
        <f t="shared" si="1"/>
        <v>3</v>
      </c>
      <c r="N17" s="380"/>
    </row>
    <row r="18" spans="1:14" x14ac:dyDescent="0.25">
      <c r="A18" s="375"/>
      <c r="B18" s="406" t="s">
        <v>41</v>
      </c>
      <c r="C18" s="401">
        <f>'4 weeks ago'!J25</f>
        <v>0</v>
      </c>
      <c r="D18" s="401">
        <f>'3 weeks ago'!J25</f>
        <v>0</v>
      </c>
      <c r="E18" s="402">
        <f>'Previous Week'!J25</f>
        <v>1</v>
      </c>
      <c r="F18" s="402">
        <f>'Last Week'!J25</f>
        <v>0</v>
      </c>
      <c r="G18" s="452">
        <f t="shared" si="2"/>
        <v>1</v>
      </c>
      <c r="H18" s="491">
        <f>'2016 Data'!J57</f>
        <v>0.68852459016393441</v>
      </c>
      <c r="I18" s="403">
        <f>'YTD 2017'!J25</f>
        <v>5</v>
      </c>
      <c r="J18" s="401">
        <f>'YTD 2016'!J25</f>
        <v>4</v>
      </c>
      <c r="K18" s="401">
        <f>'YTD 2015'!J25</f>
        <v>4</v>
      </c>
      <c r="L18" s="404">
        <f t="shared" si="0"/>
        <v>1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2</v>
      </c>
      <c r="F19" s="410">
        <f t="shared" si="4"/>
        <v>0</v>
      </c>
      <c r="G19" s="453">
        <f t="shared" si="4"/>
        <v>3</v>
      </c>
      <c r="H19" s="492">
        <f t="shared" si="4"/>
        <v>3.6731791301744141</v>
      </c>
      <c r="I19" s="411">
        <f t="shared" si="4"/>
        <v>14</v>
      </c>
      <c r="J19" s="409">
        <f t="shared" si="4"/>
        <v>14</v>
      </c>
      <c r="K19" s="409">
        <f t="shared" si="4"/>
        <v>9</v>
      </c>
      <c r="L19" s="412">
        <f>(I19-J19)/J19</f>
        <v>0</v>
      </c>
      <c r="M19" s="413">
        <f>(I19-K19)/K19</f>
        <v>0.55555555555555558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ago'!C25</f>
        <v>0</v>
      </c>
      <c r="D21" s="401">
        <f>'3 weeks ago'!C25</f>
        <v>1</v>
      </c>
      <c r="E21" s="402">
        <f>'Previous Week'!C25</f>
        <v>2</v>
      </c>
      <c r="F21" s="402">
        <f>'Last Week'!C25</f>
        <v>0</v>
      </c>
      <c r="G21" s="452">
        <f t="shared" ref="G21:G29" si="5">SUM(C21:F21)</f>
        <v>3</v>
      </c>
      <c r="H21" s="491">
        <f>'2016 Data'!C57</f>
        <v>1.3770491803278688</v>
      </c>
      <c r="I21" s="416">
        <f>'YTD 2017'!C25</f>
        <v>6</v>
      </c>
      <c r="J21" s="401">
        <f>'YTD 2016'!C25</f>
        <v>2</v>
      </c>
      <c r="K21" s="401">
        <f>'YTD 2015'!C25</f>
        <v>6</v>
      </c>
      <c r="L21" s="404">
        <f t="shared" ref="L21:L29" si="6">I21-J21</f>
        <v>4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ago'!N25</f>
        <v>1</v>
      </c>
      <c r="D22" s="401">
        <f>'3 weeks ago'!N25</f>
        <v>0</v>
      </c>
      <c r="E22" s="402">
        <f>'Previous Week'!N25</f>
        <v>1</v>
      </c>
      <c r="F22" s="402">
        <f>'Last Week'!N25</f>
        <v>1</v>
      </c>
      <c r="G22" s="452">
        <f t="shared" si="5"/>
        <v>3</v>
      </c>
      <c r="H22" s="491">
        <f>'2016 Data'!N57</f>
        <v>4.5136612021857925</v>
      </c>
      <c r="I22" s="418">
        <f>'YTD 2017'!N25</f>
        <v>10</v>
      </c>
      <c r="J22" s="401">
        <f>'YTD 2016'!N25</f>
        <v>22</v>
      </c>
      <c r="K22" s="401">
        <f>'YTD 2015'!N25</f>
        <v>21</v>
      </c>
      <c r="L22" s="404">
        <f t="shared" si="6"/>
        <v>-12</v>
      </c>
      <c r="M22" s="407">
        <f t="shared" ref="M22:M29" si="7">I22-K22</f>
        <v>-11</v>
      </c>
      <c r="N22" s="380"/>
    </row>
    <row r="23" spans="1:14" x14ac:dyDescent="0.25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Data'!L57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3</v>
      </c>
      <c r="L23" s="404">
        <f t="shared" si="6"/>
        <v>0</v>
      </c>
      <c r="M23" s="407">
        <f t="shared" si="7"/>
        <v>-3</v>
      </c>
      <c r="N23" s="380"/>
    </row>
    <row r="24" spans="1:14" x14ac:dyDescent="0.25">
      <c r="A24" s="375"/>
      <c r="B24" s="417" t="s">
        <v>33</v>
      </c>
      <c r="C24" s="401">
        <f>'4 weeks ago'!P25</f>
        <v>0</v>
      </c>
      <c r="D24" s="401">
        <f>'3 weeks ago'!P25</f>
        <v>1</v>
      </c>
      <c r="E24" s="402">
        <f>'Previous Week'!P25</f>
        <v>2</v>
      </c>
      <c r="F24" s="402">
        <f>'Last Week'!P25</f>
        <v>0</v>
      </c>
      <c r="G24" s="403">
        <f t="shared" si="5"/>
        <v>3</v>
      </c>
      <c r="H24" s="491">
        <f>'2016 Data'!P57</f>
        <v>8.9508196721311482</v>
      </c>
      <c r="I24" s="418">
        <f>'YTD 2017'!P25</f>
        <v>34</v>
      </c>
      <c r="J24" s="401">
        <f>'YTD 2016'!P25</f>
        <v>39</v>
      </c>
      <c r="K24" s="401">
        <f>'YTD 2015'!P25</f>
        <v>61</v>
      </c>
      <c r="L24" s="404">
        <f t="shared" si="6"/>
        <v>-5</v>
      </c>
      <c r="M24" s="407">
        <f t="shared" si="7"/>
        <v>-27</v>
      </c>
      <c r="N24" s="380"/>
    </row>
    <row r="25" spans="1:14" x14ac:dyDescent="0.25">
      <c r="A25" s="375"/>
      <c r="B25" s="406" t="s">
        <v>7</v>
      </c>
      <c r="C25" s="401">
        <f>'4 weeks ago'!G25</f>
        <v>2</v>
      </c>
      <c r="D25" s="401">
        <f>'3 weeks ago'!G25</f>
        <v>0</v>
      </c>
      <c r="E25" s="402">
        <f>'Previous Week'!G25</f>
        <v>3</v>
      </c>
      <c r="F25" s="402">
        <f>'Last Week'!G25</f>
        <v>8</v>
      </c>
      <c r="G25" s="403">
        <f t="shared" si="5"/>
        <v>13</v>
      </c>
      <c r="H25" s="491">
        <f>'2016 Data'!G57</f>
        <v>5.8142076502732243</v>
      </c>
      <c r="I25" s="418">
        <f>'YTD 2017'!G25</f>
        <v>33</v>
      </c>
      <c r="J25" s="401">
        <f>'YTD 2016'!G25</f>
        <v>24</v>
      </c>
      <c r="K25" s="401">
        <f>'YTD 2015'!G25</f>
        <v>28</v>
      </c>
      <c r="L25" s="404">
        <f t="shared" si="6"/>
        <v>9</v>
      </c>
      <c r="M25" s="407">
        <f t="shared" si="7"/>
        <v>5</v>
      </c>
      <c r="N25" s="380"/>
    </row>
    <row r="26" spans="1:14" x14ac:dyDescent="0.25">
      <c r="A26" s="375"/>
      <c r="B26" s="406" t="s">
        <v>68</v>
      </c>
      <c r="C26" s="401">
        <f>'4 weeks ago'!I25</f>
        <v>0</v>
      </c>
      <c r="D26" s="401">
        <f>'3 weeks ago'!I25</f>
        <v>0</v>
      </c>
      <c r="E26" s="402">
        <f>'Previous Week'!I25</f>
        <v>1</v>
      </c>
      <c r="F26" s="402">
        <f>'Last Week'!I25</f>
        <v>0</v>
      </c>
      <c r="G26" s="452">
        <f t="shared" si="5"/>
        <v>1</v>
      </c>
      <c r="H26" s="491">
        <f>'2016 Data'!I57</f>
        <v>2.2950819672131146</v>
      </c>
      <c r="I26" s="418">
        <f>'YTD 2017'!I25</f>
        <v>6</v>
      </c>
      <c r="J26" s="401">
        <f>'YTD 2016'!I25</f>
        <v>13</v>
      </c>
      <c r="K26" s="401">
        <f>'YTD 2015'!I25</f>
        <v>9</v>
      </c>
      <c r="L26" s="404">
        <f t="shared" si="6"/>
        <v>-7</v>
      </c>
      <c r="M26" s="407">
        <f t="shared" si="7"/>
        <v>-3</v>
      </c>
      <c r="N26" s="380"/>
    </row>
    <row r="27" spans="1:14" x14ac:dyDescent="0.25">
      <c r="A27" s="375"/>
      <c r="B27" s="406" t="s">
        <v>67</v>
      </c>
      <c r="C27" s="401">
        <f>'4 weeks ago'!H25</f>
        <v>0</v>
      </c>
      <c r="D27" s="401">
        <f>'3 weeks ago'!H25</f>
        <v>1</v>
      </c>
      <c r="E27" s="402">
        <f>'Previous Week'!H25</f>
        <v>2</v>
      </c>
      <c r="F27" s="402">
        <f>'Last Week'!H25</f>
        <v>1</v>
      </c>
      <c r="G27" s="452">
        <f t="shared" si="5"/>
        <v>4</v>
      </c>
      <c r="H27" s="491">
        <f>'2016 Data'!H57</f>
        <v>2.9836065573770489</v>
      </c>
      <c r="I27" s="418">
        <f>'YTD 2017'!H25</f>
        <v>15</v>
      </c>
      <c r="J27" s="401">
        <f>'YTD 2016'!H25</f>
        <v>9</v>
      </c>
      <c r="K27" s="401">
        <f>'YTD 2015'!H25</f>
        <v>13</v>
      </c>
      <c r="L27" s="404">
        <f>I27-J27</f>
        <v>6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ago'!K25</f>
        <v>0</v>
      </c>
      <c r="D28" s="401">
        <f>'3 weeks ago'!K25</f>
        <v>0</v>
      </c>
      <c r="E28" s="402">
        <f>'Previous Week'!K25</f>
        <v>0</v>
      </c>
      <c r="F28" s="402">
        <f>'Last Week'!K25</f>
        <v>0</v>
      </c>
      <c r="G28" s="452">
        <f t="shared" si="5"/>
        <v>0</v>
      </c>
      <c r="H28" s="491">
        <f>'2016 Data'!K57</f>
        <v>0.45901639344262296</v>
      </c>
      <c r="I28" s="418">
        <f>'YTD 2017'!K25</f>
        <v>1</v>
      </c>
      <c r="J28" s="401">
        <f>'YTD 2016'!K25</f>
        <v>2</v>
      </c>
      <c r="K28" s="401">
        <f>'YTD 2015'!K25</f>
        <v>2</v>
      </c>
      <c r="L28" s="404">
        <f t="shared" si="6"/>
        <v>-1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ago'!B25</f>
        <v>1</v>
      </c>
      <c r="D29" s="401">
        <f>'3 weeks ago'!B25</f>
        <v>1</v>
      </c>
      <c r="E29" s="402">
        <f>'Previous Week'!B25</f>
        <v>2</v>
      </c>
      <c r="F29" s="402">
        <f>'Last Week'!B25</f>
        <v>1</v>
      </c>
      <c r="G29" s="452">
        <f t="shared" si="5"/>
        <v>5</v>
      </c>
      <c r="H29" s="491">
        <f>'2016 Data'!B57</f>
        <v>2.2950819672131146</v>
      </c>
      <c r="I29" s="418">
        <f>'YTD 2017'!B25</f>
        <v>20</v>
      </c>
      <c r="J29" s="401">
        <f>'YTD 2016'!B25</f>
        <v>16</v>
      </c>
      <c r="K29" s="401">
        <f>'YTD 2015'!B25</f>
        <v>24</v>
      </c>
      <c r="L29" s="404">
        <f t="shared" si="6"/>
        <v>4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4</v>
      </c>
      <c r="E30" s="420">
        <f t="shared" si="8"/>
        <v>13</v>
      </c>
      <c r="F30" s="421">
        <f t="shared" si="8"/>
        <v>11</v>
      </c>
      <c r="G30" s="455">
        <f t="shared" si="8"/>
        <v>32</v>
      </c>
      <c r="H30" s="494">
        <f t="shared" si="8"/>
        <v>28.765027322404372</v>
      </c>
      <c r="I30" s="422">
        <f t="shared" si="8"/>
        <v>125</v>
      </c>
      <c r="J30" s="420">
        <f t="shared" si="8"/>
        <v>127</v>
      </c>
      <c r="K30" s="420">
        <f t="shared" si="8"/>
        <v>167</v>
      </c>
      <c r="L30" s="412">
        <f>(I30-J30)/J30</f>
        <v>-1.5748031496062992E-2</v>
      </c>
      <c r="M30" s="413">
        <f>(I30-K30)/K30</f>
        <v>-0.25149700598802394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5</v>
      </c>
      <c r="E31" s="409">
        <f t="shared" si="9"/>
        <v>15</v>
      </c>
      <c r="F31" s="410">
        <f t="shared" si="9"/>
        <v>11</v>
      </c>
      <c r="G31" s="453">
        <f t="shared" si="9"/>
        <v>35</v>
      </c>
      <c r="H31" s="492">
        <f t="shared" si="9"/>
        <v>32.438206452578783</v>
      </c>
      <c r="I31" s="411">
        <f t="shared" si="9"/>
        <v>139</v>
      </c>
      <c r="J31" s="409">
        <f t="shared" si="9"/>
        <v>141</v>
      </c>
      <c r="K31" s="409">
        <f t="shared" si="9"/>
        <v>176</v>
      </c>
      <c r="L31" s="412">
        <f>(I31-J31)/J31</f>
        <v>-1.4184397163120567E-2</v>
      </c>
      <c r="M31" s="413">
        <f>(I31-K31)/K31</f>
        <v>-0.21022727272727273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ago'!T25</f>
        <v>1</v>
      </c>
      <c r="D42" s="447">
        <f>'3 weeks ago'!T25</f>
        <v>0</v>
      </c>
      <c r="E42" s="446">
        <f>'Previous Week'!T25</f>
        <v>3</v>
      </c>
      <c r="F42" s="460">
        <f>'Last Week'!T25</f>
        <v>0</v>
      </c>
      <c r="G42" s="452">
        <f t="shared" si="10"/>
        <v>4</v>
      </c>
      <c r="H42" s="502">
        <f>'2016 Data'!S57</f>
        <v>7.5945205479452049</v>
      </c>
      <c r="I42" s="448">
        <f>'YTD 2017'!T25</f>
        <v>22</v>
      </c>
      <c r="J42" s="482">
        <f>'YTD 2016'!T25</f>
        <v>26</v>
      </c>
      <c r="K42" s="446">
        <f>'YTD 2015'!T25</f>
        <v>28</v>
      </c>
      <c r="L42" s="412">
        <f>(I42-J42)/J42</f>
        <v>-0.15384615384615385</v>
      </c>
      <c r="M42" s="413">
        <f>(I42-K42)/K42</f>
        <v>-0.21428571428571427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5" priority="1" stopIfTrue="1" operator="greaterThan">
      <formula>0</formula>
    </cfRule>
  </conditionalFormatting>
  <conditionalFormatting sqref="L32:M32">
    <cfRule type="cellIs" dxfId="4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Data'!F58</f>
        <v>0.22950819672131148</v>
      </c>
      <c r="I11" s="403">
        <f>'YTD 2017'!F26</f>
        <v>0</v>
      </c>
      <c r="J11" s="401">
        <f>'YTD 2016'!F26</f>
        <v>1</v>
      </c>
      <c r="K11" s="401">
        <f>'YTD 2015'!F26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Data'!M58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Rapes'!E29</f>
        <v>0</v>
      </c>
      <c r="D13" s="556">
        <f>'New Rapes'!D29</f>
        <v>0</v>
      </c>
      <c r="E13" s="555">
        <f>'New Rapes'!C29</f>
        <v>0</v>
      </c>
      <c r="F13" s="555">
        <f>'New Rapes'!B29</f>
        <v>0</v>
      </c>
      <c r="G13" s="452">
        <f t="shared" ref="G13" si="3">SUM(C13:F13)</f>
        <v>0</v>
      </c>
      <c r="H13" s="576">
        <v>7.6712328767123292E-2</v>
      </c>
      <c r="I13" s="557">
        <f>'New Rapes'!G29</f>
        <v>0</v>
      </c>
      <c r="J13" s="556">
        <f>'New Rapes'!H29</f>
        <v>1</v>
      </c>
      <c r="K13" s="556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Data'!D58</f>
        <v>0.76502732240437155</v>
      </c>
      <c r="I14" s="403">
        <f>'YTD 2017'!D26</f>
        <v>1</v>
      </c>
      <c r="J14" s="401">
        <f>'YTD 2016'!D26</f>
        <v>3</v>
      </c>
      <c r="K14" s="401">
        <f>'YTD 2015'!D26</f>
        <v>4</v>
      </c>
      <c r="L14" s="404">
        <f t="shared" si="0"/>
        <v>-2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ago'!Q26</f>
        <v>0</v>
      </c>
      <c r="D15" s="401">
        <f>'3 weeks ago'!Q26</f>
        <v>0</v>
      </c>
      <c r="E15" s="402">
        <f>'Previous Week'!Q26</f>
        <v>1</v>
      </c>
      <c r="F15" s="402">
        <f>'Last Week'!Q26</f>
        <v>0</v>
      </c>
      <c r="G15" s="452">
        <f t="shared" si="2"/>
        <v>1</v>
      </c>
      <c r="H15" s="491">
        <f>'2016 Data'!Q58</f>
        <v>0.53551912568306015</v>
      </c>
      <c r="I15" s="403">
        <f>'YTD 2017'!Q26</f>
        <v>2</v>
      </c>
      <c r="J15" s="401">
        <f>'YTD 2016'!Q26</f>
        <v>3</v>
      </c>
      <c r="K15" s="401">
        <f>'YTD 2015'!Q26</f>
        <v>6</v>
      </c>
      <c r="L15" s="404">
        <f t="shared" si="0"/>
        <v>-1</v>
      </c>
      <c r="M15" s="407">
        <f t="shared" si="1"/>
        <v>-4</v>
      </c>
      <c r="N15" s="380"/>
    </row>
    <row r="16" spans="1:14" x14ac:dyDescent="0.25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Data'!O58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ago'!E26</f>
        <v>0</v>
      </c>
      <c r="D17" s="401">
        <f>'3 weeks ago'!E26</f>
        <v>0</v>
      </c>
      <c r="E17" s="402">
        <f>'Previous Week'!E26</f>
        <v>0</v>
      </c>
      <c r="F17" s="402">
        <f>'Last Week'!E26</f>
        <v>0</v>
      </c>
      <c r="G17" s="452">
        <f t="shared" si="2"/>
        <v>0</v>
      </c>
      <c r="H17" s="491">
        <f>'2016 Data'!E58</f>
        <v>7.650273224043716E-2</v>
      </c>
      <c r="I17" s="403">
        <f>'YTD 2017'!E26</f>
        <v>1</v>
      </c>
      <c r="J17" s="401">
        <f>'YTD 2016'!E26</f>
        <v>0</v>
      </c>
      <c r="K17" s="401">
        <f>'YTD 2015'!E26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ago'!J26</f>
        <v>0</v>
      </c>
      <c r="D18" s="401">
        <f>'3 weeks ago'!J26</f>
        <v>0</v>
      </c>
      <c r="E18" s="402">
        <f>'Previous Week'!J26</f>
        <v>0</v>
      </c>
      <c r="F18" s="402">
        <f>'Last Week'!J26</f>
        <v>0</v>
      </c>
      <c r="G18" s="452">
        <f t="shared" si="2"/>
        <v>0</v>
      </c>
      <c r="H18" s="491">
        <f>'2016 Data'!J58</f>
        <v>0.45901639344262296</v>
      </c>
      <c r="I18" s="403">
        <f>'YTD 2017'!J26</f>
        <v>0</v>
      </c>
      <c r="J18" s="401">
        <f>'YTD 2016'!J26</f>
        <v>3</v>
      </c>
      <c r="K18" s="401">
        <f>'YTD 2015'!J26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2.2952915637398013</v>
      </c>
      <c r="I19" s="411">
        <f t="shared" si="4"/>
        <v>4</v>
      </c>
      <c r="J19" s="409">
        <f t="shared" si="4"/>
        <v>11</v>
      </c>
      <c r="K19" s="409">
        <f t="shared" si="4"/>
        <v>12</v>
      </c>
      <c r="L19" s="412">
        <f>(I19-J19)/J19</f>
        <v>-0.63636363636363635</v>
      </c>
      <c r="M19" s="413">
        <f>(I19-K19)/K19</f>
        <v>-0.66666666666666663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ago'!C26</f>
        <v>0</v>
      </c>
      <c r="D21" s="401">
        <f>'3 weeks ago'!C26</f>
        <v>1</v>
      </c>
      <c r="E21" s="402">
        <f>'Previous Week'!C26</f>
        <v>1</v>
      </c>
      <c r="F21" s="402">
        <f>'Last Week'!C26</f>
        <v>0</v>
      </c>
      <c r="G21" s="452">
        <f t="shared" ref="G21:G29" si="5">SUM(C21:F21)</f>
        <v>2</v>
      </c>
      <c r="H21" s="491">
        <f>'2016 Data'!C58</f>
        <v>1.1475409836065573</v>
      </c>
      <c r="I21" s="416">
        <f>'YTD 2017'!C26</f>
        <v>2</v>
      </c>
      <c r="J21" s="401">
        <f>'YTD 2016'!C26</f>
        <v>2</v>
      </c>
      <c r="K21" s="401">
        <f>'YTD 2015'!C26</f>
        <v>5</v>
      </c>
      <c r="L21" s="404">
        <f t="shared" ref="L21:L29" si="6">I21-J21</f>
        <v>0</v>
      </c>
      <c r="M21" s="407">
        <f>I21-K21</f>
        <v>-3</v>
      </c>
      <c r="N21" s="380"/>
    </row>
    <row r="22" spans="1:14" x14ac:dyDescent="0.25">
      <c r="A22" s="375"/>
      <c r="B22" s="417" t="s">
        <v>42</v>
      </c>
      <c r="C22" s="401">
        <f>'4 weeks ago'!N26</f>
        <v>1</v>
      </c>
      <c r="D22" s="401">
        <f>'3 weeks ago'!N26</f>
        <v>0</v>
      </c>
      <c r="E22" s="402">
        <f>'Previous Week'!N26</f>
        <v>0</v>
      </c>
      <c r="F22" s="402">
        <f>'Last Week'!N26</f>
        <v>0</v>
      </c>
      <c r="G22" s="452">
        <f t="shared" si="5"/>
        <v>1</v>
      </c>
      <c r="H22" s="491">
        <f>'2016 Data'!N58</f>
        <v>2.1420765027322406</v>
      </c>
      <c r="I22" s="418">
        <f>'YTD 2017'!N26</f>
        <v>9</v>
      </c>
      <c r="J22" s="401">
        <f>'YTD 2016'!N26</f>
        <v>4</v>
      </c>
      <c r="K22" s="401">
        <f>'YTD 2015'!N26</f>
        <v>7</v>
      </c>
      <c r="L22" s="404">
        <f t="shared" si="6"/>
        <v>5</v>
      </c>
      <c r="M22" s="407">
        <f t="shared" ref="M22:M29" si="7">I22-K22</f>
        <v>2</v>
      </c>
      <c r="N22" s="380"/>
    </row>
    <row r="23" spans="1:14" x14ac:dyDescent="0.25">
      <c r="A23" s="375"/>
      <c r="B23" s="417" t="s">
        <v>62</v>
      </c>
      <c r="C23" s="401">
        <f>'4 weeks ago'!L26</f>
        <v>0</v>
      </c>
      <c r="D23" s="401">
        <f>'3 weeks ago'!L26</f>
        <v>0</v>
      </c>
      <c r="E23" s="402">
        <f>'Previous Week'!L26</f>
        <v>0</v>
      </c>
      <c r="F23" s="402">
        <f>'Last Week'!L26</f>
        <v>1</v>
      </c>
      <c r="G23" s="418">
        <f t="shared" si="5"/>
        <v>1</v>
      </c>
      <c r="H23" s="491">
        <f>'2016 Data'!L58</f>
        <v>0.30601092896174864</v>
      </c>
      <c r="I23" s="418">
        <f>'YTD 2017'!L26</f>
        <v>1</v>
      </c>
      <c r="J23" s="401">
        <f>'YTD 2016'!L26</f>
        <v>0</v>
      </c>
      <c r="K23" s="401">
        <f>'YTD 2015'!L26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ago'!P26</f>
        <v>5</v>
      </c>
      <c r="D24" s="401">
        <f>'3 weeks ago'!P26</f>
        <v>11</v>
      </c>
      <c r="E24" s="402">
        <f>'Previous Week'!P26</f>
        <v>11</v>
      </c>
      <c r="F24" s="402">
        <f>'Last Week'!P26</f>
        <v>7</v>
      </c>
      <c r="G24" s="403">
        <f t="shared" si="5"/>
        <v>34</v>
      </c>
      <c r="H24" s="491">
        <f>'2016 Data'!P58</f>
        <v>25.62841530054645</v>
      </c>
      <c r="I24" s="418">
        <f>'YTD 2017'!P26</f>
        <v>118</v>
      </c>
      <c r="J24" s="401">
        <f>'YTD 2016'!P26</f>
        <v>143</v>
      </c>
      <c r="K24" s="401">
        <f>'YTD 2015'!P26</f>
        <v>120</v>
      </c>
      <c r="L24" s="404">
        <f t="shared" si="6"/>
        <v>-25</v>
      </c>
      <c r="M24" s="407">
        <f t="shared" si="7"/>
        <v>-2</v>
      </c>
      <c r="N24" s="380"/>
    </row>
    <row r="25" spans="1:14" x14ac:dyDescent="0.25">
      <c r="A25" s="375"/>
      <c r="B25" s="406" t="s">
        <v>7</v>
      </c>
      <c r="C25" s="401">
        <f>'4 weeks ago'!G26</f>
        <v>2</v>
      </c>
      <c r="D25" s="401">
        <f>'3 weeks ago'!G26</f>
        <v>2</v>
      </c>
      <c r="E25" s="402">
        <f>'Previous Week'!G26</f>
        <v>2</v>
      </c>
      <c r="F25" s="402">
        <f>'Last Week'!G26</f>
        <v>0</v>
      </c>
      <c r="G25" s="403">
        <f t="shared" si="5"/>
        <v>6</v>
      </c>
      <c r="H25" s="491">
        <f>'2016 Data'!G58</f>
        <v>2.7540983606557377</v>
      </c>
      <c r="I25" s="418">
        <f>'YTD 2017'!G26</f>
        <v>27</v>
      </c>
      <c r="J25" s="401">
        <f>'YTD 2016'!G26</f>
        <v>15</v>
      </c>
      <c r="K25" s="401">
        <f>'YTD 2015'!G26</f>
        <v>6</v>
      </c>
      <c r="L25" s="404">
        <f t="shared" si="6"/>
        <v>12</v>
      </c>
      <c r="M25" s="407">
        <f t="shared" si="7"/>
        <v>21</v>
      </c>
      <c r="N25" s="380"/>
    </row>
    <row r="26" spans="1:14" x14ac:dyDescent="0.25">
      <c r="A26" s="375"/>
      <c r="B26" s="406" t="s">
        <v>68</v>
      </c>
      <c r="C26" s="401">
        <f>'4 weeks ago'!I26</f>
        <v>1</v>
      </c>
      <c r="D26" s="401">
        <f>'3 weeks ago'!I26</f>
        <v>0</v>
      </c>
      <c r="E26" s="402">
        <f>'Previous Week'!I26</f>
        <v>0</v>
      </c>
      <c r="F26" s="402">
        <f>'Last Week'!I26</f>
        <v>0</v>
      </c>
      <c r="G26" s="452">
        <f t="shared" si="5"/>
        <v>1</v>
      </c>
      <c r="H26" s="491">
        <f>'2016 Data'!I58</f>
        <v>1.3005464480874318</v>
      </c>
      <c r="I26" s="418">
        <f>'YTD 2017'!I26</f>
        <v>5</v>
      </c>
      <c r="J26" s="401">
        <f>'YTD 2016'!I26</f>
        <v>7</v>
      </c>
      <c r="K26" s="401">
        <f>'YTD 2015'!I26</f>
        <v>3</v>
      </c>
      <c r="L26" s="404">
        <f t="shared" si="6"/>
        <v>-2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ago'!H26</f>
        <v>1</v>
      </c>
      <c r="D27" s="401">
        <f>'3 weeks ago'!H26</f>
        <v>1</v>
      </c>
      <c r="E27" s="402">
        <f>'Previous Week'!H26</f>
        <v>2</v>
      </c>
      <c r="F27" s="402">
        <f>'Last Week'!H26</f>
        <v>0</v>
      </c>
      <c r="G27" s="452">
        <f t="shared" si="5"/>
        <v>4</v>
      </c>
      <c r="H27" s="491">
        <f>'2016 Data'!H58</f>
        <v>2.9071038251366121</v>
      </c>
      <c r="I27" s="418">
        <f>'YTD 2017'!H26</f>
        <v>20</v>
      </c>
      <c r="J27" s="401">
        <f>'YTD 2016'!H26</f>
        <v>12</v>
      </c>
      <c r="K27" s="401">
        <f>'YTD 2015'!H26</f>
        <v>12</v>
      </c>
      <c r="L27" s="404">
        <f>I27-J27</f>
        <v>8</v>
      </c>
      <c r="M27" s="407">
        <f>I27-K27</f>
        <v>8</v>
      </c>
      <c r="N27" s="380"/>
    </row>
    <row r="28" spans="1:14" x14ac:dyDescent="0.25">
      <c r="A28" s="375"/>
      <c r="B28" s="406" t="s">
        <v>34</v>
      </c>
      <c r="C28" s="401">
        <f>'4 weeks ago'!K26</f>
        <v>1</v>
      </c>
      <c r="D28" s="401">
        <f>'3 weeks ago'!K26</f>
        <v>0</v>
      </c>
      <c r="E28" s="402">
        <f>'Previous Week'!K26</f>
        <v>0</v>
      </c>
      <c r="F28" s="402">
        <f>'Last Week'!K26</f>
        <v>0</v>
      </c>
      <c r="G28" s="452">
        <f t="shared" si="5"/>
        <v>1</v>
      </c>
      <c r="H28" s="491">
        <f>'2016 Data'!K58</f>
        <v>0.15300546448087432</v>
      </c>
      <c r="I28" s="418">
        <f>'YTD 2017'!K26</f>
        <v>2</v>
      </c>
      <c r="J28" s="401">
        <f>'YTD 2016'!K26</f>
        <v>1</v>
      </c>
      <c r="K28" s="401">
        <f>'YTD 2015'!K26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ago'!B26</f>
        <v>1</v>
      </c>
      <c r="D29" s="401">
        <f>'3 weeks ago'!B26</f>
        <v>0</v>
      </c>
      <c r="E29" s="402">
        <f>'Previous Week'!B26</f>
        <v>1</v>
      </c>
      <c r="F29" s="402">
        <f>'Last Week'!B26</f>
        <v>0</v>
      </c>
      <c r="G29" s="452">
        <f t="shared" si="5"/>
        <v>2</v>
      </c>
      <c r="H29" s="491">
        <f>'2016 Data'!B58</f>
        <v>1.1475409836065573</v>
      </c>
      <c r="I29" s="418">
        <f>'YTD 2017'!B26</f>
        <v>7</v>
      </c>
      <c r="J29" s="401">
        <f>'YTD 2016'!B26</f>
        <v>2</v>
      </c>
      <c r="K29" s="401">
        <f>'YTD 2015'!B26</f>
        <v>7</v>
      </c>
      <c r="L29" s="404">
        <f t="shared" si="6"/>
        <v>5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12</v>
      </c>
      <c r="D30" s="420">
        <f t="shared" si="8"/>
        <v>15</v>
      </c>
      <c r="E30" s="420">
        <f t="shared" si="8"/>
        <v>17</v>
      </c>
      <c r="F30" s="421">
        <f t="shared" si="8"/>
        <v>8</v>
      </c>
      <c r="G30" s="455">
        <f t="shared" si="8"/>
        <v>52</v>
      </c>
      <c r="H30" s="494">
        <f t="shared" si="8"/>
        <v>37.486338797814213</v>
      </c>
      <c r="I30" s="422">
        <f t="shared" si="8"/>
        <v>191</v>
      </c>
      <c r="J30" s="420">
        <f t="shared" si="8"/>
        <v>186</v>
      </c>
      <c r="K30" s="420">
        <f t="shared" si="8"/>
        <v>162</v>
      </c>
      <c r="L30" s="412">
        <f>(I30-J30)/J30</f>
        <v>2.6881720430107527E-2</v>
      </c>
      <c r="M30" s="413">
        <f>(I30-K30)/K30</f>
        <v>0.17901234567901234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12</v>
      </c>
      <c r="D31" s="409">
        <f t="shared" si="9"/>
        <v>15</v>
      </c>
      <c r="E31" s="409">
        <f t="shared" si="9"/>
        <v>18</v>
      </c>
      <c r="F31" s="410">
        <f t="shared" si="9"/>
        <v>8</v>
      </c>
      <c r="G31" s="453">
        <f t="shared" si="9"/>
        <v>53</v>
      </c>
      <c r="H31" s="492">
        <f t="shared" si="9"/>
        <v>39.781630361554015</v>
      </c>
      <c r="I31" s="411">
        <f t="shared" si="9"/>
        <v>195</v>
      </c>
      <c r="J31" s="409">
        <f t="shared" si="9"/>
        <v>197</v>
      </c>
      <c r="K31" s="409">
        <f t="shared" si="9"/>
        <v>174</v>
      </c>
      <c r="L31" s="412">
        <f>(I31-J31)/J31</f>
        <v>-1.015228426395939E-2</v>
      </c>
      <c r="M31" s="413">
        <f>(I31-K31)/K31</f>
        <v>0.1206896551724138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2</v>
      </c>
      <c r="G41" s="452">
        <f t="shared" ref="G41:G42" si="10">SUM(C41:F41)</f>
        <v>2</v>
      </c>
      <c r="H41" s="501">
        <f>'2016 Data'!R58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ago'!T26</f>
        <v>0</v>
      </c>
      <c r="D42" s="447">
        <f>'3 weeks ago'!T26</f>
        <v>3</v>
      </c>
      <c r="E42" s="446">
        <f>'Previous Week'!T26</f>
        <v>2</v>
      </c>
      <c r="F42" s="460">
        <f>'Last Week'!T26</f>
        <v>2</v>
      </c>
      <c r="G42" s="452">
        <f t="shared" si="10"/>
        <v>7</v>
      </c>
      <c r="H42" s="502">
        <f>'2016 Data'!S58</f>
        <v>5.3698630136986303</v>
      </c>
      <c r="I42" s="448">
        <f>'YTD 2017'!T26</f>
        <v>20</v>
      </c>
      <c r="J42" s="482">
        <f>'YTD 2016'!T26</f>
        <v>14</v>
      </c>
      <c r="K42" s="446">
        <f>'YTD 2015'!T26</f>
        <v>14</v>
      </c>
      <c r="L42" s="412">
        <f>(I42-J42)/J42</f>
        <v>0.42857142857142855</v>
      </c>
      <c r="M42" s="413">
        <f>(I42-K42)/K42</f>
        <v>0.42857142857142855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3" priority="1" stopIfTrue="1" operator="greaterThan">
      <formula>0</formula>
    </cfRule>
  </conditionalFormatting>
  <conditionalFormatting sqref="L32:M32">
    <cfRule type="cellIs" dxfId="4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Data'!F59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1</v>
      </c>
      <c r="L11" s="404">
        <f t="shared" ref="L11:L18" si="0">I11-J11</f>
        <v>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8" si="2">SUM(C12:F12)</f>
        <v>0</v>
      </c>
      <c r="H12" s="491">
        <f>'2016 Data'!M59</f>
        <v>0.22950819672131148</v>
      </c>
      <c r="I12" s="403">
        <f>'YTD 2017'!M27</f>
        <v>1</v>
      </c>
      <c r="J12" s="401">
        <f>'YTD 2016'!M27</f>
        <v>2</v>
      </c>
      <c r="K12" s="401">
        <f>'YTD 2015'!M27</f>
        <v>1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Rapes'!E30</f>
        <v>0</v>
      </c>
      <c r="D13" s="556">
        <f>'New Rapes'!D30</f>
        <v>0</v>
      </c>
      <c r="E13" s="555">
        <f>'New Rapes'!C30</f>
        <v>0</v>
      </c>
      <c r="F13" s="555">
        <f>'New Rapes'!B30</f>
        <v>0</v>
      </c>
      <c r="G13" s="452">
        <f t="shared" ref="G13" si="3">SUM(C13:F13)</f>
        <v>0</v>
      </c>
      <c r="H13" s="576">
        <v>0.30684931506849317</v>
      </c>
      <c r="I13" s="557">
        <f>'New Rapes'!G30</f>
        <v>1</v>
      </c>
      <c r="J13" s="556">
        <f>'New Rapes'!H30</f>
        <v>1</v>
      </c>
      <c r="K13" s="556">
        <f>'New Rapes'!I30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Data'!D59</f>
        <v>0.22950819672131148</v>
      </c>
      <c r="I14" s="403">
        <f>'YTD 2017'!D27</f>
        <v>1</v>
      </c>
      <c r="J14" s="401">
        <f>'YTD 2016'!D27</f>
        <v>0</v>
      </c>
      <c r="K14" s="401">
        <f>'YTD 2015'!D27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ago'!Q27</f>
        <v>1</v>
      </c>
      <c r="D15" s="401">
        <f>'3 weeks ago'!Q27</f>
        <v>0</v>
      </c>
      <c r="E15" s="402">
        <f>'Previous Week'!Q27</f>
        <v>0</v>
      </c>
      <c r="F15" s="402">
        <f>'Last Week'!Q27</f>
        <v>0</v>
      </c>
      <c r="G15" s="452">
        <f t="shared" si="2"/>
        <v>1</v>
      </c>
      <c r="H15" s="491">
        <f>'2016 Data'!Q59</f>
        <v>0.22950819672131148</v>
      </c>
      <c r="I15" s="403">
        <f>'YTD 2017'!Q27</f>
        <v>2</v>
      </c>
      <c r="J15" s="401">
        <f>'YTD 2016'!Q27</f>
        <v>1</v>
      </c>
      <c r="K15" s="401">
        <f>'YTD 2015'!Q27</f>
        <v>1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Data'!O59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ago'!E27</f>
        <v>0</v>
      </c>
      <c r="D17" s="401">
        <f>'3 weeks ago'!E27</f>
        <v>0</v>
      </c>
      <c r="E17" s="402">
        <f>'Previous Week'!E27</f>
        <v>0</v>
      </c>
      <c r="F17" s="402">
        <f>'Last Week'!E27</f>
        <v>1</v>
      </c>
      <c r="G17" s="452">
        <f t="shared" si="2"/>
        <v>1</v>
      </c>
      <c r="H17" s="491">
        <f>'2016 Data'!E59</f>
        <v>0.53551912568306015</v>
      </c>
      <c r="I17" s="403">
        <f>'YTD 2017'!E27</f>
        <v>7</v>
      </c>
      <c r="J17" s="401">
        <f>'YTD 2016'!E27</f>
        <v>1</v>
      </c>
      <c r="K17" s="401">
        <f>'YTD 2015'!E27</f>
        <v>1</v>
      </c>
      <c r="L17" s="404">
        <f t="shared" si="0"/>
        <v>6</v>
      </c>
      <c r="M17" s="407">
        <f t="shared" si="1"/>
        <v>6</v>
      </c>
      <c r="N17" s="380"/>
    </row>
    <row r="18" spans="1:14" x14ac:dyDescent="0.25">
      <c r="A18" s="375"/>
      <c r="B18" s="406" t="s">
        <v>41</v>
      </c>
      <c r="C18" s="401">
        <f>'4 weeks ago'!J27</f>
        <v>0</v>
      </c>
      <c r="D18" s="401">
        <f>'3 weeks ago'!J27</f>
        <v>0</v>
      </c>
      <c r="E18" s="402">
        <f>'Previous Week'!J27</f>
        <v>0</v>
      </c>
      <c r="F18" s="402">
        <f>'Last Week'!J27</f>
        <v>0</v>
      </c>
      <c r="G18" s="452">
        <f t="shared" si="2"/>
        <v>0</v>
      </c>
      <c r="H18" s="491">
        <f>'2016 Data'!J59</f>
        <v>0.61202185792349728</v>
      </c>
      <c r="I18" s="403">
        <f>'YTD 2017'!J27</f>
        <v>0</v>
      </c>
      <c r="J18" s="401">
        <f>'YTD 2016'!J27</f>
        <v>4</v>
      </c>
      <c r="K18" s="401">
        <f>'YTD 2015'!J27</f>
        <v>2</v>
      </c>
      <c r="L18" s="404">
        <f t="shared" si="0"/>
        <v>-4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2.2959203533198593</v>
      </c>
      <c r="I19" s="411">
        <f t="shared" si="4"/>
        <v>13</v>
      </c>
      <c r="J19" s="409">
        <f t="shared" si="4"/>
        <v>9</v>
      </c>
      <c r="K19" s="409">
        <f t="shared" si="4"/>
        <v>6</v>
      </c>
      <c r="L19" s="412">
        <f>(I19-J19)/J19</f>
        <v>0.44444444444444442</v>
      </c>
      <c r="M19" s="413">
        <f>(I19-K19)/K19</f>
        <v>1.1666666666666667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ago'!C27</f>
        <v>1</v>
      </c>
      <c r="D21" s="401">
        <f>'3 weeks ago'!C27</f>
        <v>1</v>
      </c>
      <c r="E21" s="402">
        <f>'Previous Week'!C27</f>
        <v>1</v>
      </c>
      <c r="F21" s="402">
        <f>'Last Week'!C27</f>
        <v>0</v>
      </c>
      <c r="G21" s="452">
        <f t="shared" ref="G21:G29" si="5">SUM(C21:F21)</f>
        <v>3</v>
      </c>
      <c r="H21" s="491">
        <f>'2016 Data'!C59</f>
        <v>0.22950819672131148</v>
      </c>
      <c r="I21" s="416">
        <f>'YTD 2017'!C27</f>
        <v>4</v>
      </c>
      <c r="J21" s="401">
        <f>'YTD 2016'!C27</f>
        <v>1</v>
      </c>
      <c r="K21" s="401">
        <f>'YTD 2015'!C27</f>
        <v>0</v>
      </c>
      <c r="L21" s="404">
        <f t="shared" ref="L21:L29" si="6">I21-J21</f>
        <v>3</v>
      </c>
      <c r="M21" s="407">
        <f>I21-K21</f>
        <v>4</v>
      </c>
      <c r="N21" s="380"/>
    </row>
    <row r="22" spans="1:14" x14ac:dyDescent="0.25">
      <c r="A22" s="375"/>
      <c r="B22" s="417" t="s">
        <v>42</v>
      </c>
      <c r="C22" s="401">
        <f>'4 weeks ago'!N27</f>
        <v>0</v>
      </c>
      <c r="D22" s="401">
        <f>'3 weeks ago'!N27</f>
        <v>2</v>
      </c>
      <c r="E22" s="402">
        <f>'Previous Week'!N27</f>
        <v>1</v>
      </c>
      <c r="F22" s="402">
        <f>'Last Week'!N27</f>
        <v>0</v>
      </c>
      <c r="G22" s="452">
        <f t="shared" si="5"/>
        <v>3</v>
      </c>
      <c r="H22" s="491">
        <f>'2016 Data'!N59</f>
        <v>3.7486338797814209</v>
      </c>
      <c r="I22" s="418">
        <f>'YTD 2017'!N27</f>
        <v>20</v>
      </c>
      <c r="J22" s="401">
        <f>'YTD 2016'!N27</f>
        <v>11</v>
      </c>
      <c r="K22" s="401">
        <f>'YTD 2015'!N27</f>
        <v>28</v>
      </c>
      <c r="L22" s="404">
        <f t="shared" si="6"/>
        <v>9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Data'!L59</f>
        <v>0.15300546448087432</v>
      </c>
      <c r="I23" s="418">
        <f>'YTD 2017'!L27</f>
        <v>0</v>
      </c>
      <c r="J23" s="401">
        <f>'YTD 2016'!L27</f>
        <v>0</v>
      </c>
      <c r="K23" s="401">
        <f>'YTD 2015'!L27</f>
        <v>1</v>
      </c>
      <c r="L23" s="404">
        <f t="shared" si="6"/>
        <v>0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ago'!P27</f>
        <v>0</v>
      </c>
      <c r="D24" s="401">
        <f>'3 weeks ago'!P27</f>
        <v>0</v>
      </c>
      <c r="E24" s="402">
        <f>'Previous Week'!P27</f>
        <v>0</v>
      </c>
      <c r="F24" s="402">
        <f>'Last Week'!P27</f>
        <v>0</v>
      </c>
      <c r="G24" s="403">
        <f t="shared" si="5"/>
        <v>0</v>
      </c>
      <c r="H24" s="491">
        <f>'2016 Data'!P59</f>
        <v>1.0710382513661203</v>
      </c>
      <c r="I24" s="418">
        <f>'YTD 2017'!P27</f>
        <v>7</v>
      </c>
      <c r="J24" s="401">
        <f>'YTD 2016'!P27</f>
        <v>5</v>
      </c>
      <c r="K24" s="401">
        <f>'YTD 2015'!P27</f>
        <v>2</v>
      </c>
      <c r="L24" s="404">
        <f t="shared" si="6"/>
        <v>2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ago'!G27</f>
        <v>4</v>
      </c>
      <c r="D25" s="401">
        <f>'3 weeks ago'!G27</f>
        <v>2</v>
      </c>
      <c r="E25" s="402">
        <f>'Previous Week'!G27</f>
        <v>3</v>
      </c>
      <c r="F25" s="402">
        <f>'Last Week'!G27</f>
        <v>4</v>
      </c>
      <c r="G25" s="403">
        <f t="shared" si="5"/>
        <v>13</v>
      </c>
      <c r="H25" s="491">
        <f>'2016 Data'!G59</f>
        <v>4.1311475409836067</v>
      </c>
      <c r="I25" s="418">
        <f>'YTD 2017'!G27</f>
        <v>28</v>
      </c>
      <c r="J25" s="401">
        <f>'YTD 2016'!G27</f>
        <v>11</v>
      </c>
      <c r="K25" s="401">
        <f>'YTD 2015'!G27</f>
        <v>29</v>
      </c>
      <c r="L25" s="404">
        <f t="shared" si="6"/>
        <v>17</v>
      </c>
      <c r="M25" s="407">
        <f t="shared" si="7"/>
        <v>-1</v>
      </c>
      <c r="N25" s="380"/>
    </row>
    <row r="26" spans="1:14" x14ac:dyDescent="0.25">
      <c r="A26" s="375"/>
      <c r="B26" s="406" t="s">
        <v>68</v>
      </c>
      <c r="C26" s="401">
        <f>'4 weeks ago'!I27</f>
        <v>1</v>
      </c>
      <c r="D26" s="401">
        <f>'3 weeks ago'!I27</f>
        <v>0</v>
      </c>
      <c r="E26" s="402">
        <f>'Previous Week'!I27</f>
        <v>0</v>
      </c>
      <c r="F26" s="402">
        <f>'Last Week'!I27</f>
        <v>0</v>
      </c>
      <c r="G26" s="452">
        <f t="shared" si="5"/>
        <v>1</v>
      </c>
      <c r="H26" s="491">
        <f>'2016 Data'!I59</f>
        <v>1.6065573770491803</v>
      </c>
      <c r="I26" s="418">
        <f>'YTD 2017'!I27</f>
        <v>7</v>
      </c>
      <c r="J26" s="401">
        <f>'YTD 2016'!I27</f>
        <v>6</v>
      </c>
      <c r="K26" s="401">
        <f>'YTD 2015'!I27</f>
        <v>3</v>
      </c>
      <c r="L26" s="404">
        <f t="shared" si="6"/>
        <v>1</v>
      </c>
      <c r="M26" s="407">
        <f t="shared" si="7"/>
        <v>4</v>
      </c>
      <c r="N26" s="380"/>
    </row>
    <row r="27" spans="1:14" x14ac:dyDescent="0.25">
      <c r="A27" s="375"/>
      <c r="B27" s="406" t="s">
        <v>67</v>
      </c>
      <c r="C27" s="401">
        <f>'4 weeks ago'!H27</f>
        <v>0</v>
      </c>
      <c r="D27" s="401">
        <f>'3 weeks ago'!H27</f>
        <v>2</v>
      </c>
      <c r="E27" s="402">
        <f>'Previous Week'!H27</f>
        <v>0</v>
      </c>
      <c r="F27" s="402">
        <f>'Last Week'!H27</f>
        <v>2</v>
      </c>
      <c r="G27" s="452">
        <f t="shared" si="5"/>
        <v>4</v>
      </c>
      <c r="H27" s="491">
        <f>'2016 Data'!H59</f>
        <v>2.7540983606557377</v>
      </c>
      <c r="I27" s="418">
        <f>'YTD 2017'!H27</f>
        <v>11</v>
      </c>
      <c r="J27" s="401">
        <f>'YTD 2016'!H27</f>
        <v>7</v>
      </c>
      <c r="K27" s="401">
        <f>'YTD 2015'!H27</f>
        <v>11</v>
      </c>
      <c r="L27" s="404">
        <f>I27-J27</f>
        <v>4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ago'!K27</f>
        <v>0</v>
      </c>
      <c r="D28" s="401">
        <f>'3 weeks ago'!K27</f>
        <v>0</v>
      </c>
      <c r="E28" s="402">
        <f>'Previous Week'!K27</f>
        <v>0</v>
      </c>
      <c r="F28" s="402">
        <f>'Last Week'!K27</f>
        <v>0</v>
      </c>
      <c r="G28" s="452">
        <f t="shared" si="5"/>
        <v>0</v>
      </c>
      <c r="H28" s="491">
        <f>'2016 Data'!K59</f>
        <v>0.22950819672131148</v>
      </c>
      <c r="I28" s="418">
        <f>'YTD 2017'!K27</f>
        <v>3</v>
      </c>
      <c r="J28" s="401">
        <f>'YTD 2016'!K27</f>
        <v>1</v>
      </c>
      <c r="K28" s="401">
        <f>'YTD 2015'!K27</f>
        <v>4</v>
      </c>
      <c r="L28" s="404">
        <f t="shared" si="6"/>
        <v>2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ago'!B27</f>
        <v>0</v>
      </c>
      <c r="D29" s="401">
        <f>'3 weeks ago'!B27</f>
        <v>1</v>
      </c>
      <c r="E29" s="402">
        <f>'Previous Week'!B27</f>
        <v>0</v>
      </c>
      <c r="F29" s="402">
        <f>'Last Week'!B27</f>
        <v>1</v>
      </c>
      <c r="G29" s="452">
        <f t="shared" si="5"/>
        <v>2</v>
      </c>
      <c r="H29" s="491">
        <f>'2016 Data'!B59</f>
        <v>2.1420765027322406</v>
      </c>
      <c r="I29" s="418">
        <f>'YTD 2017'!B27</f>
        <v>8</v>
      </c>
      <c r="J29" s="401">
        <f>'YTD 2016'!B27</f>
        <v>11</v>
      </c>
      <c r="K29" s="401">
        <f>'YTD 2015'!B27</f>
        <v>12</v>
      </c>
      <c r="L29" s="404">
        <f t="shared" si="6"/>
        <v>-3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6</v>
      </c>
      <c r="D30" s="420">
        <f t="shared" si="8"/>
        <v>8</v>
      </c>
      <c r="E30" s="420">
        <f t="shared" si="8"/>
        <v>5</v>
      </c>
      <c r="F30" s="421">
        <f t="shared" si="8"/>
        <v>7</v>
      </c>
      <c r="G30" s="455">
        <f t="shared" si="8"/>
        <v>26</v>
      </c>
      <c r="H30" s="494">
        <f t="shared" si="8"/>
        <v>16.065573770491802</v>
      </c>
      <c r="I30" s="422">
        <f t="shared" si="8"/>
        <v>88</v>
      </c>
      <c r="J30" s="420">
        <f t="shared" si="8"/>
        <v>53</v>
      </c>
      <c r="K30" s="420">
        <f>SUM(K21:K29)</f>
        <v>90</v>
      </c>
      <c r="L30" s="412">
        <f>(I30-J30)/J30</f>
        <v>0.660377358490566</v>
      </c>
      <c r="M30" s="413">
        <f>(I30-K30)/K30</f>
        <v>-2.2222222222222223E-2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8</v>
      </c>
      <c r="E31" s="409">
        <f t="shared" si="9"/>
        <v>5</v>
      </c>
      <c r="F31" s="410">
        <f t="shared" si="9"/>
        <v>8</v>
      </c>
      <c r="G31" s="453">
        <f t="shared" si="9"/>
        <v>28</v>
      </c>
      <c r="H31" s="492">
        <f t="shared" si="9"/>
        <v>18.36149412381166</v>
      </c>
      <c r="I31" s="411">
        <f t="shared" si="9"/>
        <v>101</v>
      </c>
      <c r="J31" s="409">
        <f t="shared" si="9"/>
        <v>62</v>
      </c>
      <c r="K31" s="409">
        <f t="shared" si="9"/>
        <v>96</v>
      </c>
      <c r="L31" s="412">
        <f>(I31-J31)/J31</f>
        <v>0.62903225806451613</v>
      </c>
      <c r="M31" s="413">
        <f>(I31-K31)/K31</f>
        <v>5.2083333333333336E-2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Data'!R59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ago'!T27</f>
        <v>2</v>
      </c>
      <c r="D42" s="447">
        <f>'3 weeks ago'!T27</f>
        <v>2</v>
      </c>
      <c r="E42" s="446">
        <f>'Previous Week'!T27</f>
        <v>1</v>
      </c>
      <c r="F42" s="460">
        <f>'Last Week'!T27</f>
        <v>7</v>
      </c>
      <c r="G42" s="452">
        <f t="shared" si="10"/>
        <v>12</v>
      </c>
      <c r="H42" s="502">
        <f>'2016 Data'!S59</f>
        <v>8.2082191780821923</v>
      </c>
      <c r="I42" s="448">
        <f>'YTD 2017'!T27</f>
        <v>42</v>
      </c>
      <c r="J42" s="482">
        <f>'YTD 2016'!T27</f>
        <v>28</v>
      </c>
      <c r="K42" s="446">
        <f>'YTD 2015'!T27</f>
        <v>25</v>
      </c>
      <c r="L42" s="412">
        <f>(I42-J42)/J42</f>
        <v>0.5</v>
      </c>
      <c r="M42" s="413">
        <f>(I42-K42)/K42</f>
        <v>0.68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1" priority="1" stopIfTrue="1" operator="greaterThan">
      <formula>0</formula>
    </cfRule>
  </conditionalFormatting>
  <conditionalFormatting sqref="L32:M32">
    <cfRule type="cellIs" dxfId="4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H13" sqref="H1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Data'!F60</f>
        <v>7.650273224043716E-2</v>
      </c>
      <c r="I11" s="403">
        <f>'YTD 2017'!F28</f>
        <v>0</v>
      </c>
      <c r="J11" s="401">
        <f>'YTD 2016'!F28</f>
        <v>1</v>
      </c>
      <c r="K11" s="401">
        <f>'YTD 2015'!F28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Data'!M60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Rapes'!E31</f>
        <v>0</v>
      </c>
      <c r="D13" s="556">
        <f>'New Rapes'!D31</f>
        <v>0</v>
      </c>
      <c r="E13" s="555">
        <f>'New Rapes'!C31</f>
        <v>0</v>
      </c>
      <c r="F13" s="555">
        <f>'New Rapes'!B31</f>
        <v>0</v>
      </c>
      <c r="G13" s="452">
        <f t="shared" ref="G13" si="3">SUM(C13:F13)</f>
        <v>0</v>
      </c>
      <c r="H13" s="576">
        <v>0.15300546448087432</v>
      </c>
      <c r="I13" s="557">
        <f>'New Rapes'!G31</f>
        <v>0</v>
      </c>
      <c r="J13" s="556">
        <f>'New Rapes'!H31</f>
        <v>0</v>
      </c>
      <c r="K13" s="556">
        <f>'New Rapes'!I31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Data'!D60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0</v>
      </c>
      <c r="F15" s="402">
        <f>'Last Week'!Q28</f>
        <v>0</v>
      </c>
      <c r="G15" s="452">
        <f t="shared" si="2"/>
        <v>0</v>
      </c>
      <c r="H15" s="491">
        <f>'2016 Data'!Q60</f>
        <v>0.15300546448087432</v>
      </c>
      <c r="I15" s="403">
        <f>'YTD 2017'!Q28</f>
        <v>0</v>
      </c>
      <c r="J15" s="401">
        <f>'YTD 2016'!Q28</f>
        <v>0</v>
      </c>
      <c r="K15" s="401">
        <f>'YTD 2015'!Q28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Data'!O60</f>
        <v>0</v>
      </c>
      <c r="I16" s="403">
        <f>'YTD 2017'!O28</f>
        <v>0</v>
      </c>
      <c r="J16" s="401">
        <f>'YTD 2016'!O28</f>
        <v>0</v>
      </c>
      <c r="K16" s="401">
        <f>'YTD 2015'!O28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Data'!E60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Data'!J60</f>
        <v>7.650273224043716E-2</v>
      </c>
      <c r="I18" s="403">
        <f>'YTD 2017'!J28</f>
        <v>0</v>
      </c>
      <c r="J18" s="401">
        <f>'YTD 2016'!J28</f>
        <v>0</v>
      </c>
      <c r="K18" s="401">
        <f>'YTD 2015'!J28</f>
        <v>0</v>
      </c>
      <c r="L18" s="404">
        <f t="shared" si="0"/>
        <v>0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0.45901639344262291</v>
      </c>
      <c r="I19" s="411">
        <f t="shared" si="4"/>
        <v>0</v>
      </c>
      <c r="J19" s="409">
        <f t="shared" si="4"/>
        <v>1</v>
      </c>
      <c r="K19" s="409">
        <f t="shared" si="4"/>
        <v>0</v>
      </c>
      <c r="L19" s="412">
        <f>(I19-J19)/J19</f>
        <v>-1</v>
      </c>
      <c r="M19" s="413" t="e">
        <f>(I19-K19)/K19</f>
        <v>#DIV/0!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Data'!C60</f>
        <v>0</v>
      </c>
      <c r="I21" s="416">
        <f>'YTD 2017'!C28</f>
        <v>0</v>
      </c>
      <c r="J21" s="401">
        <f>'YTD 2016'!C28</f>
        <v>0</v>
      </c>
      <c r="K21" s="401">
        <f>'YTD 2015'!C28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ago'!N28</f>
        <v>0</v>
      </c>
      <c r="D22" s="401">
        <f>'3 weeks ago'!N28</f>
        <v>0</v>
      </c>
      <c r="E22" s="402">
        <f>'Previous Week'!N28</f>
        <v>2</v>
      </c>
      <c r="F22" s="402">
        <f>'Last Week'!N28</f>
        <v>0</v>
      </c>
      <c r="G22" s="452">
        <f t="shared" si="5"/>
        <v>2</v>
      </c>
      <c r="H22" s="491">
        <f>'2016 Data'!N60</f>
        <v>1.3770491803278688</v>
      </c>
      <c r="I22" s="418">
        <f>'YTD 2017'!N28</f>
        <v>7</v>
      </c>
      <c r="J22" s="401">
        <f>'YTD 2016'!N28</f>
        <v>3</v>
      </c>
      <c r="K22" s="401">
        <f>'YTD 2015'!N28</f>
        <v>7</v>
      </c>
      <c r="L22" s="404">
        <f t="shared" si="6"/>
        <v>4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Data'!L60</f>
        <v>0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Data'!P60</f>
        <v>0</v>
      </c>
      <c r="I24" s="418">
        <f>'YTD 2017'!P28</f>
        <v>0</v>
      </c>
      <c r="J24" s="401">
        <f>'YTD 2016'!P28</f>
        <v>0</v>
      </c>
      <c r="K24" s="401">
        <f>'YTD 2015'!P28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ago'!G28</f>
        <v>0</v>
      </c>
      <c r="D25" s="401">
        <f>'3 weeks ago'!G28</f>
        <v>0</v>
      </c>
      <c r="E25" s="402">
        <f>'Previous Week'!G28</f>
        <v>0</v>
      </c>
      <c r="F25" s="402">
        <f>'Last Week'!G28</f>
        <v>1</v>
      </c>
      <c r="G25" s="403">
        <f t="shared" si="5"/>
        <v>1</v>
      </c>
      <c r="H25" s="491">
        <f>'2016 Data'!G60</f>
        <v>0.68852459016393441</v>
      </c>
      <c r="I25" s="418">
        <f>'YTD 2017'!G28</f>
        <v>2</v>
      </c>
      <c r="J25" s="401">
        <f>'YTD 2016'!G28</f>
        <v>3</v>
      </c>
      <c r="K25" s="401">
        <f>'YTD 2015'!G28</f>
        <v>1</v>
      </c>
      <c r="L25" s="404">
        <f t="shared" si="6"/>
        <v>-1</v>
      </c>
      <c r="M25" s="407">
        <f t="shared" si="7"/>
        <v>1</v>
      </c>
      <c r="N25" s="380"/>
    </row>
    <row r="26" spans="1:14" x14ac:dyDescent="0.25">
      <c r="A26" s="375"/>
      <c r="B26" s="406" t="s">
        <v>68</v>
      </c>
      <c r="C26" s="401">
        <f>'4 weeks ago'!I28</f>
        <v>0</v>
      </c>
      <c r="D26" s="401">
        <f>'3 weeks ago'!I28</f>
        <v>0</v>
      </c>
      <c r="E26" s="402">
        <f>'Previous Week'!I28</f>
        <v>0</v>
      </c>
      <c r="F26" s="402">
        <f>'Last Week'!I28</f>
        <v>0</v>
      </c>
      <c r="G26" s="452">
        <f t="shared" si="5"/>
        <v>0</v>
      </c>
      <c r="H26" s="491">
        <f>'2016 Data'!I60</f>
        <v>0.30601092896174864</v>
      </c>
      <c r="I26" s="418">
        <f>'YTD 2017'!I28</f>
        <v>0</v>
      </c>
      <c r="J26" s="401">
        <f>'YTD 2016'!I28</f>
        <v>0</v>
      </c>
      <c r="K26" s="401">
        <f>'YTD 2015'!I28</f>
        <v>1</v>
      </c>
      <c r="L26" s="404">
        <f t="shared" si="6"/>
        <v>0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ago'!H28</f>
        <v>0</v>
      </c>
      <c r="D27" s="401">
        <f>'3 weeks ago'!H28</f>
        <v>0</v>
      </c>
      <c r="E27" s="402">
        <f>'Previous Week'!H28</f>
        <v>0</v>
      </c>
      <c r="F27" s="402">
        <f>'Last Week'!H28</f>
        <v>0</v>
      </c>
      <c r="G27" s="452">
        <f t="shared" si="5"/>
        <v>0</v>
      </c>
      <c r="H27" s="491">
        <f>'2016 Data'!H60</f>
        <v>0.22950819672131148</v>
      </c>
      <c r="I27" s="418">
        <f>'YTD 2017'!H28</f>
        <v>1</v>
      </c>
      <c r="J27" s="401">
        <f>'YTD 2016'!H28</f>
        <v>0</v>
      </c>
      <c r="K27" s="401">
        <f>'YTD 2015'!H28</f>
        <v>1</v>
      </c>
      <c r="L27" s="404">
        <f>I27-J27</f>
        <v>1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ago'!K28</f>
        <v>1</v>
      </c>
      <c r="D28" s="401">
        <f>'3 weeks ago'!K28</f>
        <v>0</v>
      </c>
      <c r="E28" s="402">
        <f>'Previous Week'!K28</f>
        <v>0</v>
      </c>
      <c r="F28" s="402">
        <f>'Last Week'!K28</f>
        <v>0</v>
      </c>
      <c r="G28" s="452">
        <f t="shared" si="5"/>
        <v>1</v>
      </c>
      <c r="H28" s="491">
        <f>'2016 Data'!K60</f>
        <v>0.22950819672131148</v>
      </c>
      <c r="I28" s="418">
        <f>'YTD 2017'!K28</f>
        <v>1</v>
      </c>
      <c r="J28" s="401">
        <f>'YTD 2016'!K28</f>
        <v>0</v>
      </c>
      <c r="K28" s="401">
        <f>'YTD 2015'!K28</f>
        <v>0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ago'!B28</f>
        <v>0</v>
      </c>
      <c r="D29" s="401">
        <f>'3 weeks ago'!B28</f>
        <v>0</v>
      </c>
      <c r="E29" s="402">
        <f>'Previous Week'!B28</f>
        <v>0</v>
      </c>
      <c r="F29" s="402">
        <f>'Last Week'!B28</f>
        <v>0</v>
      </c>
      <c r="G29" s="452">
        <f t="shared" si="5"/>
        <v>0</v>
      </c>
      <c r="H29" s="491">
        <f>'2016 Data'!B60</f>
        <v>0.38251366120218577</v>
      </c>
      <c r="I29" s="418">
        <f>'YTD 2017'!B28</f>
        <v>1</v>
      </c>
      <c r="J29" s="401">
        <f>'YTD 2016'!B28</f>
        <v>1</v>
      </c>
      <c r="K29" s="401">
        <f>'YTD 2015'!B28</f>
        <v>0</v>
      </c>
      <c r="L29" s="404">
        <f t="shared" si="6"/>
        <v>0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1</v>
      </c>
      <c r="D30" s="420">
        <f t="shared" si="8"/>
        <v>0</v>
      </c>
      <c r="E30" s="420">
        <f t="shared" si="8"/>
        <v>2</v>
      </c>
      <c r="F30" s="421">
        <f t="shared" si="8"/>
        <v>1</v>
      </c>
      <c r="G30" s="455">
        <f t="shared" si="8"/>
        <v>4</v>
      </c>
      <c r="H30" s="494">
        <f t="shared" si="8"/>
        <v>3.2131147540983602</v>
      </c>
      <c r="I30" s="422">
        <f t="shared" si="8"/>
        <v>12</v>
      </c>
      <c r="J30" s="420">
        <f t="shared" si="8"/>
        <v>7</v>
      </c>
      <c r="K30" s="420">
        <f>SUM(K21:K29)</f>
        <v>11</v>
      </c>
      <c r="L30" s="412">
        <f>(I30-J30)/J30</f>
        <v>0.7142857142857143</v>
      </c>
      <c r="M30" s="413">
        <f>(I30-K30)/K30</f>
        <v>9.0909090909090912E-2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</v>
      </c>
      <c r="D31" s="409">
        <f t="shared" si="9"/>
        <v>0</v>
      </c>
      <c r="E31" s="409">
        <f t="shared" si="9"/>
        <v>2</v>
      </c>
      <c r="F31" s="410">
        <f t="shared" si="9"/>
        <v>1</v>
      </c>
      <c r="G31" s="453">
        <f t="shared" si="9"/>
        <v>4</v>
      </c>
      <c r="H31" s="492">
        <f t="shared" si="9"/>
        <v>3.6721311475409832</v>
      </c>
      <c r="I31" s="411">
        <f t="shared" si="9"/>
        <v>12</v>
      </c>
      <c r="J31" s="409">
        <f t="shared" si="9"/>
        <v>8</v>
      </c>
      <c r="K31" s="409">
        <f t="shared" si="9"/>
        <v>11</v>
      </c>
      <c r="L31" s="412">
        <f>(I31-J31)/J31</f>
        <v>0.5</v>
      </c>
      <c r="M31" s="413">
        <f>(I31-K31)/K31</f>
        <v>9.0909090909090912E-2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7</v>
      </c>
      <c r="G41" s="452">
        <f t="shared" ref="G41:G42" si="10">SUM(C41:F41)</f>
        <v>7</v>
      </c>
      <c r="H41" s="501">
        <f>'2016 Data'!R60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ago'!T28</f>
        <v>1</v>
      </c>
      <c r="D42" s="447">
        <f>'3 weeks ago'!T28</f>
        <v>2</v>
      </c>
      <c r="E42" s="446">
        <f>'Previous Week'!T28</f>
        <v>1</v>
      </c>
      <c r="F42" s="460">
        <f>'Last Week'!T28</f>
        <v>0</v>
      </c>
      <c r="G42" s="452">
        <f t="shared" si="10"/>
        <v>4</v>
      </c>
      <c r="H42" s="502">
        <f>'2016 Data'!S60</f>
        <v>4.2191780821917808</v>
      </c>
      <c r="I42" s="448">
        <f>'YTD 2017'!T28</f>
        <v>18</v>
      </c>
      <c r="J42" s="482">
        <f>'YTD 2016'!T28</f>
        <v>21</v>
      </c>
      <c r="K42" s="446">
        <f>'YTD 2015'!T28</f>
        <v>11</v>
      </c>
      <c r="L42" s="412">
        <f>(I42-J42)/J42</f>
        <v>-0.14285714285714285</v>
      </c>
      <c r="M42" s="413">
        <f>(I42-K42)/K42</f>
        <v>0.63636363636363635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9" priority="1" stopIfTrue="1" operator="greaterThan">
      <formula>0</formula>
    </cfRule>
  </conditionalFormatting>
  <conditionalFormatting sqref="L32:M32">
    <cfRule type="cellIs" dxfId="3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Data'!F61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Data'!M61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6">
        <f>'New Rapes'!E32</f>
        <v>0</v>
      </c>
      <c r="D13" s="556">
        <f>'New Rapes'!D32</f>
        <v>0</v>
      </c>
      <c r="E13" s="555">
        <f>'New Rapes'!C32</f>
        <v>0</v>
      </c>
      <c r="F13" s="555">
        <f>'New Rapes'!B32</f>
        <v>0</v>
      </c>
      <c r="G13" s="452">
        <f t="shared" ref="G13" si="3">SUM(C13:F13)</f>
        <v>0</v>
      </c>
      <c r="H13" s="576">
        <v>7.6712328767123292E-2</v>
      </c>
      <c r="I13" s="557">
        <f>'New Rapes'!G32</f>
        <v>0</v>
      </c>
      <c r="J13" s="556">
        <f>'New Rapes'!H32</f>
        <v>0</v>
      </c>
      <c r="K13" s="556">
        <f>'New Rapes'!I32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ago'!D29</f>
        <v>0</v>
      </c>
      <c r="D14" s="401">
        <f>'3 weeks ago'!D29</f>
        <v>0</v>
      </c>
      <c r="E14" s="402">
        <f>'Previous Week'!D29</f>
        <v>0</v>
      </c>
      <c r="F14" s="402">
        <f>'Last Week'!D29</f>
        <v>0</v>
      </c>
      <c r="G14" s="452">
        <f t="shared" si="2"/>
        <v>0</v>
      </c>
      <c r="H14" s="491">
        <f>'2016 Data'!D61</f>
        <v>0.38251366120218577</v>
      </c>
      <c r="I14" s="403">
        <f>'YTD 2017'!D29</f>
        <v>2</v>
      </c>
      <c r="J14" s="401">
        <f>'YTD 2016'!D29</f>
        <v>1</v>
      </c>
      <c r="K14" s="401">
        <f>'YTD 2015'!D29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ago'!Q29</f>
        <v>0</v>
      </c>
      <c r="D15" s="401">
        <f>'3 weeks ago'!Q29</f>
        <v>0</v>
      </c>
      <c r="E15" s="402">
        <f>'Previous Week'!Q29</f>
        <v>0</v>
      </c>
      <c r="F15" s="402">
        <f>'Last Week'!Q29</f>
        <v>1</v>
      </c>
      <c r="G15" s="452">
        <f t="shared" si="2"/>
        <v>1</v>
      </c>
      <c r="H15" s="491">
        <f>'2016 Data'!Q61</f>
        <v>0.30601092896174864</v>
      </c>
      <c r="I15" s="403">
        <f>'YTD 2017'!Q29</f>
        <v>1</v>
      </c>
      <c r="J15" s="401">
        <f>'YTD 2016'!Q29</f>
        <v>2</v>
      </c>
      <c r="K15" s="401">
        <f>'YTD 2015'!Q29</f>
        <v>1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Data'!O61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ago'!E29</f>
        <v>1</v>
      </c>
      <c r="D17" s="401">
        <f>'3 weeks ago'!E29</f>
        <v>0</v>
      </c>
      <c r="E17" s="402">
        <f>'Previous Week'!E29</f>
        <v>0</v>
      </c>
      <c r="F17" s="402">
        <f>'Last Week'!E29</f>
        <v>0</v>
      </c>
      <c r="G17" s="452">
        <f t="shared" si="2"/>
        <v>1</v>
      </c>
      <c r="H17" s="491">
        <f>'2016 Data'!E61</f>
        <v>0.22950819672131148</v>
      </c>
      <c r="I17" s="403">
        <f>'YTD 2017'!E29</f>
        <v>1</v>
      </c>
      <c r="J17" s="401">
        <f>'YTD 2016'!E29</f>
        <v>0</v>
      </c>
      <c r="K17" s="401">
        <f>'YTD 2015'!E29</f>
        <v>2</v>
      </c>
      <c r="L17" s="404">
        <f t="shared" si="0"/>
        <v>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ago'!J29</f>
        <v>0</v>
      </c>
      <c r="D18" s="401">
        <f>'3 weeks ago'!J29</f>
        <v>0</v>
      </c>
      <c r="E18" s="402">
        <f>'Previous Week'!J29</f>
        <v>0</v>
      </c>
      <c r="F18" s="402">
        <f>'Last Week'!J29</f>
        <v>0</v>
      </c>
      <c r="G18" s="452">
        <f t="shared" si="2"/>
        <v>0</v>
      </c>
      <c r="H18" s="491">
        <f>'2016 Data'!J61</f>
        <v>7.650273224043716E-2</v>
      </c>
      <c r="I18" s="403">
        <f>'YTD 2017'!J29</f>
        <v>0</v>
      </c>
      <c r="J18" s="401">
        <f>'YTD 2016'!J29</f>
        <v>0</v>
      </c>
      <c r="K18" s="401">
        <f>'YTD 2015'!J29</f>
        <v>0</v>
      </c>
      <c r="L18" s="404">
        <f t="shared" si="0"/>
        <v>0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1.1477505801332435</v>
      </c>
      <c r="I19" s="411">
        <f t="shared" si="4"/>
        <v>4</v>
      </c>
      <c r="J19" s="409">
        <f t="shared" si="4"/>
        <v>4</v>
      </c>
      <c r="K19" s="409">
        <f t="shared" si="4"/>
        <v>5</v>
      </c>
      <c r="L19" s="412">
        <f>(I19-J19)/J19</f>
        <v>0</v>
      </c>
      <c r="M19" s="413">
        <f>(I19-K19)/K19</f>
        <v>-0.2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ago'!C29</f>
        <v>0</v>
      </c>
      <c r="D21" s="401">
        <f>'3 weeks ago'!C29</f>
        <v>1</v>
      </c>
      <c r="E21" s="402">
        <f>'Previous Week'!C29</f>
        <v>0</v>
      </c>
      <c r="F21" s="402">
        <f>'Last Week'!C29</f>
        <v>0</v>
      </c>
      <c r="G21" s="452">
        <f t="shared" ref="G21:G29" si="5">SUM(C21:F21)</f>
        <v>1</v>
      </c>
      <c r="H21" s="491">
        <f>'2016 Data'!C61</f>
        <v>0</v>
      </c>
      <c r="I21" s="416">
        <f>'YTD 2017'!C29</f>
        <v>2</v>
      </c>
      <c r="J21" s="401">
        <f>'YTD 2016'!C29</f>
        <v>0</v>
      </c>
      <c r="K21" s="401">
        <f>'YTD 2015'!C29</f>
        <v>0</v>
      </c>
      <c r="L21" s="404">
        <f t="shared" ref="L21:L29" si="6">I21-J21</f>
        <v>2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ago'!N29</f>
        <v>0</v>
      </c>
      <c r="D22" s="401">
        <f>'3 weeks ago'!N29</f>
        <v>0</v>
      </c>
      <c r="E22" s="402">
        <f>'Previous Week'!N29</f>
        <v>0</v>
      </c>
      <c r="F22" s="402">
        <f>'Last Week'!N29</f>
        <v>0</v>
      </c>
      <c r="G22" s="452">
        <f t="shared" si="5"/>
        <v>0</v>
      </c>
      <c r="H22" s="491">
        <f>'2016 Data'!N61</f>
        <v>1.8360655737704918</v>
      </c>
      <c r="I22" s="418">
        <f>'YTD 2017'!N29</f>
        <v>3</v>
      </c>
      <c r="J22" s="401">
        <f>'YTD 2016'!N29</f>
        <v>6</v>
      </c>
      <c r="K22" s="401">
        <f>'YTD 2015'!N29</f>
        <v>6</v>
      </c>
      <c r="L22" s="404">
        <f t="shared" si="6"/>
        <v>-3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0</v>
      </c>
      <c r="F23" s="402">
        <f>'Last Week'!L29</f>
        <v>0</v>
      </c>
      <c r="G23" s="418">
        <f t="shared" si="5"/>
        <v>0</v>
      </c>
      <c r="H23" s="491">
        <f>'2016 Data'!L61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ago'!P29</f>
        <v>4</v>
      </c>
      <c r="D24" s="401">
        <f>'3 weeks ago'!P29</f>
        <v>5</v>
      </c>
      <c r="E24" s="402">
        <f>'Previous Week'!P29</f>
        <v>1</v>
      </c>
      <c r="F24" s="402">
        <f>'Last Week'!P29</f>
        <v>5</v>
      </c>
      <c r="G24" s="403">
        <f t="shared" si="5"/>
        <v>15</v>
      </c>
      <c r="H24" s="491">
        <f>'2016 Data'!P61</f>
        <v>10.863387978142075</v>
      </c>
      <c r="I24" s="418">
        <f>'YTD 2017'!P29</f>
        <v>57</v>
      </c>
      <c r="J24" s="401">
        <f>'YTD 2016'!P29</f>
        <v>49</v>
      </c>
      <c r="K24" s="401">
        <f>'YTD 2015'!P29</f>
        <v>49</v>
      </c>
      <c r="L24" s="404">
        <f t="shared" si="6"/>
        <v>8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ago'!G29</f>
        <v>2</v>
      </c>
      <c r="D25" s="401">
        <f>'3 weeks ago'!G29</f>
        <v>1</v>
      </c>
      <c r="E25" s="402">
        <f>'Previous Week'!G29</f>
        <v>1</v>
      </c>
      <c r="F25" s="402">
        <f>'Last Week'!G29</f>
        <v>1</v>
      </c>
      <c r="G25" s="403">
        <f t="shared" si="5"/>
        <v>5</v>
      </c>
      <c r="H25" s="491">
        <f>'2016 Data'!G61</f>
        <v>1.9890710382513661</v>
      </c>
      <c r="I25" s="418">
        <f>'YTD 2017'!G29</f>
        <v>20</v>
      </c>
      <c r="J25" s="401">
        <f>'YTD 2016'!G29</f>
        <v>6</v>
      </c>
      <c r="K25" s="401">
        <f>'YTD 2015'!G29</f>
        <v>9</v>
      </c>
      <c r="L25" s="404">
        <f t="shared" si="6"/>
        <v>14</v>
      </c>
      <c r="M25" s="407">
        <f t="shared" si="7"/>
        <v>11</v>
      </c>
      <c r="N25" s="380"/>
    </row>
    <row r="26" spans="1:14" x14ac:dyDescent="0.25">
      <c r="A26" s="375"/>
      <c r="B26" s="406" t="s">
        <v>68</v>
      </c>
      <c r="C26" s="401">
        <f>'4 weeks ago'!I29</f>
        <v>0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0</v>
      </c>
      <c r="H26" s="491">
        <f>'2016 Data'!I61</f>
        <v>1.5300546448087431</v>
      </c>
      <c r="I26" s="418">
        <f>'YTD 2017'!I29</f>
        <v>2</v>
      </c>
      <c r="J26" s="401">
        <f>'YTD 2016'!I29</f>
        <v>2</v>
      </c>
      <c r="K26" s="401">
        <f>'YTD 2015'!I29</f>
        <v>2</v>
      </c>
      <c r="L26" s="404">
        <f t="shared" si="6"/>
        <v>0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ago'!H29</f>
        <v>0</v>
      </c>
      <c r="D27" s="401">
        <f>'3 weeks ago'!H29</f>
        <v>1</v>
      </c>
      <c r="E27" s="402">
        <f>'Previous Week'!H29</f>
        <v>2</v>
      </c>
      <c r="F27" s="402">
        <f>'Last Week'!H29</f>
        <v>0</v>
      </c>
      <c r="G27" s="452">
        <f t="shared" si="5"/>
        <v>3</v>
      </c>
      <c r="H27" s="491">
        <f>'2016 Data'!H61</f>
        <v>1.6065573770491803</v>
      </c>
      <c r="I27" s="418">
        <f>'YTD 2017'!H29</f>
        <v>8</v>
      </c>
      <c r="J27" s="401">
        <f>'YTD 2016'!H29</f>
        <v>6</v>
      </c>
      <c r="K27" s="401">
        <f>'YTD 2015'!H29</f>
        <v>8</v>
      </c>
      <c r="L27" s="404">
        <f>I27-J27</f>
        <v>2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0</v>
      </c>
      <c r="G28" s="452">
        <f t="shared" si="5"/>
        <v>0</v>
      </c>
      <c r="H28" s="491">
        <f>'2016 Data'!K61</f>
        <v>0.38251366120218577</v>
      </c>
      <c r="I28" s="418">
        <f>'YTD 2017'!K29</f>
        <v>1</v>
      </c>
      <c r="J28" s="401">
        <f>'YTD 2016'!K29</f>
        <v>1</v>
      </c>
      <c r="K28" s="401">
        <f>'YTD 2015'!K29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ago'!B29</f>
        <v>0</v>
      </c>
      <c r="D29" s="401">
        <f>'3 weeks ago'!B29</f>
        <v>0</v>
      </c>
      <c r="E29" s="402">
        <f>'Previous Week'!B29</f>
        <v>2</v>
      </c>
      <c r="F29" s="402">
        <f>'Last Week'!B29</f>
        <v>1</v>
      </c>
      <c r="G29" s="452">
        <f t="shared" si="5"/>
        <v>3</v>
      </c>
      <c r="H29" s="491">
        <f>'2016 Data'!B61</f>
        <v>1.1475409836065573</v>
      </c>
      <c r="I29" s="418">
        <f>'YTD 2017'!B29</f>
        <v>5</v>
      </c>
      <c r="J29" s="401">
        <f>'YTD 2016'!B29</f>
        <v>3</v>
      </c>
      <c r="K29" s="401">
        <f>'YTD 2015'!B29</f>
        <v>5</v>
      </c>
      <c r="L29" s="404">
        <f t="shared" si="6"/>
        <v>2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6</v>
      </c>
      <c r="D30" s="420">
        <f t="shared" si="8"/>
        <v>8</v>
      </c>
      <c r="E30" s="420">
        <f t="shared" si="8"/>
        <v>6</v>
      </c>
      <c r="F30" s="421">
        <f t="shared" si="8"/>
        <v>7</v>
      </c>
      <c r="G30" s="455">
        <f t="shared" si="8"/>
        <v>27</v>
      </c>
      <c r="H30" s="494">
        <f t="shared" si="8"/>
        <v>19.508196721311474</v>
      </c>
      <c r="I30" s="422">
        <f t="shared" si="8"/>
        <v>99</v>
      </c>
      <c r="J30" s="420">
        <f t="shared" si="8"/>
        <v>74</v>
      </c>
      <c r="K30" s="420">
        <f>SUM(K21:K29)</f>
        <v>80</v>
      </c>
      <c r="L30" s="412">
        <f>(I30-J30)/J30</f>
        <v>0.33783783783783783</v>
      </c>
      <c r="M30" s="413">
        <f>(I30-K30)/K30</f>
        <v>0.23749999999999999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8</v>
      </c>
      <c r="E31" s="409">
        <f t="shared" si="9"/>
        <v>6</v>
      </c>
      <c r="F31" s="410">
        <f t="shared" si="9"/>
        <v>8</v>
      </c>
      <c r="G31" s="453">
        <f t="shared" si="9"/>
        <v>29</v>
      </c>
      <c r="H31" s="492">
        <f t="shared" si="9"/>
        <v>20.655947301444719</v>
      </c>
      <c r="I31" s="411">
        <f t="shared" si="9"/>
        <v>103</v>
      </c>
      <c r="J31" s="409">
        <f t="shared" si="9"/>
        <v>78</v>
      </c>
      <c r="K31" s="409">
        <f t="shared" si="9"/>
        <v>85</v>
      </c>
      <c r="L31" s="412">
        <f>(I31-J31)/J31</f>
        <v>0.32051282051282054</v>
      </c>
      <c r="M31" s="413">
        <f>(I31-K31)/K31</f>
        <v>0.21176470588235294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0</v>
      </c>
      <c r="G41" s="452">
        <f t="shared" ref="G41:G42" si="10">SUM(C41:F41)</f>
        <v>0</v>
      </c>
      <c r="H41" s="501">
        <f>'2016 Data'!R61</f>
        <v>0</v>
      </c>
      <c r="I41" s="443">
        <f>'YTD 2017'!S29</f>
        <v>0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ago'!T29</f>
        <v>7</v>
      </c>
      <c r="D42" s="447">
        <f>'3 weeks ago'!T29</f>
        <v>2</v>
      </c>
      <c r="E42" s="446">
        <f>'Previous Week'!T29</f>
        <v>4</v>
      </c>
      <c r="F42" s="460">
        <f>'Last Week'!T29</f>
        <v>1</v>
      </c>
      <c r="G42" s="452">
        <f t="shared" si="10"/>
        <v>14</v>
      </c>
      <c r="H42" s="502">
        <f>'2016 Data'!S61</f>
        <v>7.978082191780822</v>
      </c>
      <c r="I42" s="448">
        <f>'YTD 2017'!T29</f>
        <v>35</v>
      </c>
      <c r="J42" s="482">
        <f>'YTD 2016'!T29</f>
        <v>38</v>
      </c>
      <c r="K42" s="446">
        <f>'YTD 2015'!T29</f>
        <v>29</v>
      </c>
      <c r="L42" s="412">
        <f>(I42-J42)/J42</f>
        <v>-7.8947368421052627E-2</v>
      </c>
      <c r="M42" s="413">
        <f>(I42-K42)/K42</f>
        <v>0.20689655172413793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7" priority="1" stopIfTrue="1" operator="greaterThan">
      <formula>0</formula>
    </cfRule>
  </conditionalFormatting>
  <conditionalFormatting sqref="L32:M32">
    <cfRule type="cellIs" dxfId="3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C15" sqref="C15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176</v>
      </c>
      <c r="N4" s="27"/>
    </row>
    <row r="5" spans="1:21" ht="18.75" customHeight="1" x14ac:dyDescent="0.3">
      <c r="A5" s="27"/>
      <c r="C5" s="220" t="s">
        <v>232</v>
      </c>
      <c r="G5" s="78"/>
      <c r="H5" s="29"/>
      <c r="L5"/>
      <c r="N5" s="27"/>
      <c r="P5" t="s">
        <v>56</v>
      </c>
    </row>
    <row r="6" spans="1:21" ht="15.6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233</v>
      </c>
      <c r="D10" s="250" t="s">
        <v>222</v>
      </c>
      <c r="E10" s="251" t="s">
        <v>181</v>
      </c>
      <c r="F10" s="252" t="s">
        <v>234</v>
      </c>
      <c r="G10" s="253">
        <v>42826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8" si="0">H11/4</f>
        <v>0.11475409836065573</v>
      </c>
      <c r="F11" s="106">
        <f>'Beat 51'!G11+'Beat 52'!G11+'Beat 53'!G11+'Beat 54'!G11+'Beat 55'!G11+'Beat 56'!G11</f>
        <v>0</v>
      </c>
      <c r="G11" s="263">
        <f>'Previous 28 Days'!F7</f>
        <v>0</v>
      </c>
      <c r="H11" s="42">
        <f>'Beat 51'!H11+'Beat 52'!H11+'Beat 53'!H11+'Beat 54'!H11+'Beat 55'!H11+'Beat 56'!H11</f>
        <v>0.45901639344262291</v>
      </c>
      <c r="I11" s="111">
        <f>'Beat 51'!I11+'Beat 52'!I11+'Beat 53'!I11+'Beat 54'!I11+'Beat 55'!I11+'Beat 56'!I11</f>
        <v>2</v>
      </c>
      <c r="J11" s="2">
        <f>'Beat 51'!J11+'Beat 52'!J11+'Beat 53'!J11+'Beat 54'!J11+'Beat 55'!J11+'Beat 56'!J11</f>
        <v>2</v>
      </c>
      <c r="K11" s="2">
        <f>'Beat 51'!K11+'Beat 52'!K11+'Beat 53'!K11+'Beat 54'!K11+'Beat 55'!K11+'Beat 56'!K11</f>
        <v>3</v>
      </c>
      <c r="L11" s="52">
        <f>I11-J11</f>
        <v>0</v>
      </c>
      <c r="M11" s="56">
        <f t="shared" ref="M11:M18" si="1">I11-K11</f>
        <v>-1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7.650273224043716E-2</v>
      </c>
      <c r="F12" s="106">
        <f>'Beat 51'!G12+'Beat 52'!G12+'Beat 53'!G12+'Beat 54'!G12+'Beat 55'!G12+'Beat 56'!G12</f>
        <v>0</v>
      </c>
      <c r="G12" s="263">
        <f>'Previous 28 Days'!M7</f>
        <v>2</v>
      </c>
      <c r="H12" s="42">
        <f>'Beat 51'!H12+'Beat 52'!H12+'Beat 53'!H12+'Beat 54'!H12+'Beat 55'!H12+'Beat 56'!H12</f>
        <v>0.30601092896174864</v>
      </c>
      <c r="I12" s="111">
        <f>'Beat 51'!I12+'Beat 52'!I12+'Beat 53'!I12+'Beat 54'!I12+'Beat 55'!I12+'Beat 56'!I12</f>
        <v>2</v>
      </c>
      <c r="J12" s="2">
        <f>'Beat 51'!J12+'Beat 52'!J12+'Beat 53'!J12+'Beat 54'!J12+'Beat 55'!J12+'Beat 56'!J12</f>
        <v>1</v>
      </c>
      <c r="K12" s="2">
        <f>'Beat 51'!K12+'Beat 52'!K12+'Beat 53'!K12+'Beat 54'!K12+'Beat 55'!K12+'Beat 56'!K12</f>
        <v>3</v>
      </c>
      <c r="L12" s="52">
        <f t="shared" ref="L12:L18" si="3">I12-J12</f>
        <v>1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1</v>
      </c>
      <c r="E13" s="42">
        <f t="shared" si="0"/>
        <v>0.17239314319934129</v>
      </c>
      <c r="F13" s="106">
        <f>'Beat 51'!G13+'Beat 52'!G13+'Beat 53'!G13+'Beat 54'!G13+'Beat 55'!G13+'Beat 56'!G13</f>
        <v>1</v>
      </c>
      <c r="G13" s="558">
        <f>'New Rapes'!L10</f>
        <v>0</v>
      </c>
      <c r="H13" s="42">
        <f>'Beat 51'!H13+'Beat 52'!H13+'Beat 53'!H13+'Beat 54'!H13+'Beat 55'!H13+'Beat 56'!H13</f>
        <v>0.68957257279736517</v>
      </c>
      <c r="I13" s="111">
        <f>'Beat 51'!I13+'Beat 52'!I13+'Beat 53'!I13+'Beat 54'!I13+'Beat 55'!I13+'Beat 56'!I13</f>
        <v>3</v>
      </c>
      <c r="J13" s="2">
        <f>'Beat 51'!J13+'Beat 52'!J13+'Beat 53'!J13+'Beat 54'!J13+'Beat 55'!J13+'Beat 56'!J13</f>
        <v>3</v>
      </c>
      <c r="K13" s="2">
        <f>'Beat 51'!K13+'Beat 52'!K13+'Beat 53'!K13+'Beat 54'!K13+'Beat 55'!K13+'Beat 56'!K13</f>
        <v>2</v>
      </c>
      <c r="L13" s="52">
        <f t="shared" ref="L13" si="4">I13-J13</f>
        <v>0</v>
      </c>
      <c r="M13" s="53">
        <f t="shared" ref="M13" si="5">I13-K13</f>
        <v>1</v>
      </c>
      <c r="N13" s="18"/>
    </row>
    <row r="14" spans="1:21" x14ac:dyDescent="0.2">
      <c r="A14" s="19"/>
      <c r="B14" s="10" t="s">
        <v>29</v>
      </c>
      <c r="C14" s="103">
        <f>'Beat 51'!F14+'Beat 52'!F14+'Beat 53'!F14+'Beat 54'!F14+'Beat 55'!F14+'Beat 56'!F14</f>
        <v>3</v>
      </c>
      <c r="D14" s="2">
        <f>'Beat 51'!E14+'Beat 52'!E14+'Beat 53'!E14+'Beat 54'!E14+'Beat 55'!E14+'Beat 56'!E14</f>
        <v>0</v>
      </c>
      <c r="E14" s="42">
        <f t="shared" si="0"/>
        <v>0.30601092896174864</v>
      </c>
      <c r="F14" s="106">
        <f>'Beat 51'!G14+'Beat 52'!G14+'Beat 53'!G14+'Beat 54'!G14+'Beat 55'!G14+'Beat 56'!G14</f>
        <v>7</v>
      </c>
      <c r="G14" s="263">
        <f>'Previous 28 Days'!D7</f>
        <v>1</v>
      </c>
      <c r="H14" s="42">
        <f>'Beat 51'!H14+'Beat 52'!H14+'Beat 53'!H14+'Beat 54'!H14+'Beat 55'!H14+'Beat 56'!H14</f>
        <v>1.2240437158469946</v>
      </c>
      <c r="I14" s="111">
        <f>'Beat 51'!I14+'Beat 52'!I14+'Beat 53'!I14+'Beat 54'!I14+'Beat 55'!I14+'Beat 56'!I14</f>
        <v>17</v>
      </c>
      <c r="J14" s="2">
        <f>'Beat 51'!J14+'Beat 52'!J14+'Beat 53'!J14+'Beat 54'!J14+'Beat 55'!J14+'Beat 56'!J14</f>
        <v>5</v>
      </c>
      <c r="K14" s="2">
        <f>'Beat 51'!K14+'Beat 52'!K14+'Beat 53'!K14+'Beat 54'!K14+'Beat 55'!K14+'Beat 56'!K14</f>
        <v>1</v>
      </c>
      <c r="L14" s="52">
        <f t="shared" si="3"/>
        <v>12</v>
      </c>
      <c r="M14" s="53">
        <f t="shared" si="1"/>
        <v>16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51'!F15+'Beat 52'!F15+'Beat 53'!F15+'Beat 54'!F15+'Beat 55'!F15+'Beat 56'!F15</f>
        <v>0</v>
      </c>
      <c r="D15" s="2">
        <f>'Beat 51'!E15+'Beat 52'!E15+'Beat 53'!E15+'Beat 54'!E15+'Beat 55'!E15+'Beat 56'!E15</f>
        <v>1</v>
      </c>
      <c r="E15" s="42">
        <f>H15/4</f>
        <v>0.84153005464480879</v>
      </c>
      <c r="F15" s="106">
        <f>'Beat 51'!G15+'Beat 52'!G15+'Beat 53'!G15+'Beat 54'!G15+'Beat 55'!G15+'Beat 56'!G15</f>
        <v>1</v>
      </c>
      <c r="G15" s="263">
        <f>'Previous 28 Days'!Q7</f>
        <v>1</v>
      </c>
      <c r="H15" s="42">
        <f>'Beat 51'!H15+'Beat 52'!H15+'Beat 53'!H15+'Beat 54'!H15+'Beat 55'!H15+'Beat 56'!H15</f>
        <v>3.3661202185792352</v>
      </c>
      <c r="I15" s="111">
        <f>'Beat 51'!I15+'Beat 52'!I15+'Beat 53'!I15+'Beat 54'!I15+'Beat 55'!I15+'Beat 56'!I15</f>
        <v>4</v>
      </c>
      <c r="J15" s="2">
        <f>'Beat 51'!J15+'Beat 52'!J15+'Beat 53'!J15+'Beat 54'!J15+'Beat 55'!J15+'Beat 56'!J15</f>
        <v>19</v>
      </c>
      <c r="K15" s="2">
        <f>'Beat 51'!K15+'Beat 52'!K15+'Beat 53'!K15+'Beat 54'!K15+'Beat 55'!K15+'Beat 56'!K15</f>
        <v>18</v>
      </c>
      <c r="L15" s="52">
        <f t="shared" si="3"/>
        <v>-15</v>
      </c>
      <c r="M15" s="53">
        <f t="shared" si="1"/>
        <v>-14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51'!F16+'Beat 52'!F16+'Beat 53'!F16+'Beat 54'!F16+'Beat 55'!F16+'Beat 56'!F16</f>
        <v>1</v>
      </c>
      <c r="D16" s="2">
        <f>'Beat 51'!E16+'Beat 52'!E16+'Beat 53'!E16+'Beat 54'!E16+'Beat 55'!E16+'Beat 56'!E16</f>
        <v>1</v>
      </c>
      <c r="E16" s="42">
        <f t="shared" si="0"/>
        <v>0.11475409836065573</v>
      </c>
      <c r="F16" s="106">
        <f>'Beat 51'!G16+'Beat 52'!G16+'Beat 53'!G16+'Beat 54'!G16+'Beat 55'!G16+'Beat 56'!G16</f>
        <v>2</v>
      </c>
      <c r="G16" s="263">
        <f>'Previous 28 Days'!O7</f>
        <v>0</v>
      </c>
      <c r="H16" s="42">
        <f>'Beat 51'!H16+'Beat 52'!H16+'Beat 53'!H16+'Beat 54'!H16+'Beat 55'!H16+'Beat 56'!H16</f>
        <v>0.45901639344262291</v>
      </c>
      <c r="I16" s="111">
        <f>'Beat 51'!I16+'Beat 52'!I16+'Beat 53'!I16+'Beat 54'!I16+'Beat 55'!I16+'Beat 56'!I16</f>
        <v>3</v>
      </c>
      <c r="J16" s="2">
        <f>'Beat 51'!J16+'Beat 52'!J16+'Beat 53'!J16+'Beat 54'!J16+'Beat 55'!J16+'Beat 56'!J16</f>
        <v>0</v>
      </c>
      <c r="K16" s="2">
        <f>'Beat 51'!K16+'Beat 52'!K16+'Beat 53'!K16+'Beat 54'!K16+'Beat 55'!K16+'Beat 56'!K16</f>
        <v>3</v>
      </c>
      <c r="L16" s="52">
        <f t="shared" si="3"/>
        <v>3</v>
      </c>
      <c r="M16" s="53">
        <f t="shared" si="1"/>
        <v>0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51'!F17+'Beat 52'!F17+'Beat 53'!F17+'Beat 54'!F17+'Beat 55'!F17+'Beat 56'!F17</f>
        <v>0</v>
      </c>
      <c r="D17" s="2">
        <f>'Beat 51'!E17+'Beat 52'!E17+'Beat 53'!E17+'Beat 54'!E17+'Beat 55'!E17+'Beat 56'!E17</f>
        <v>1</v>
      </c>
      <c r="E17" s="42">
        <f t="shared" si="0"/>
        <v>1.0327868852459015</v>
      </c>
      <c r="F17" s="106">
        <f>'Beat 51'!G17+'Beat 52'!G17+'Beat 53'!G17+'Beat 54'!G17+'Beat 55'!G17+'Beat 56'!G17</f>
        <v>2</v>
      </c>
      <c r="G17" s="263">
        <f>'Previous 28 Days'!E7</f>
        <v>3</v>
      </c>
      <c r="H17" s="42">
        <f>'Beat 51'!H17+'Beat 52'!H17+'Beat 53'!H17+'Beat 54'!H17+'Beat 55'!H17+'Beat 56'!H17</f>
        <v>4.1311475409836058</v>
      </c>
      <c r="I17" s="111">
        <f>'Beat 51'!I17+'Beat 52'!I17+'Beat 53'!I17+'Beat 54'!I17+'Beat 55'!I17+'Beat 56'!I17</f>
        <v>16</v>
      </c>
      <c r="J17" s="2">
        <f>'Beat 51'!J17+'Beat 52'!J17+'Beat 53'!J17+'Beat 54'!J17+'Beat 55'!J17+'Beat 56'!J17</f>
        <v>23</v>
      </c>
      <c r="K17" s="2">
        <f>'Beat 51'!K17+'Beat 52'!K17+'Beat 53'!K17+'Beat 54'!K17+'Beat 55'!K17+'Beat 56'!K17</f>
        <v>20</v>
      </c>
      <c r="L17" s="52">
        <f t="shared" si="3"/>
        <v>-7</v>
      </c>
      <c r="M17" s="53">
        <f t="shared" si="1"/>
        <v>-4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51'!F18+'Beat 52'!F18+'Beat 53'!F18+'Beat 54'!F18+'Beat 55'!F18+'Beat 56'!F18</f>
        <v>4</v>
      </c>
      <c r="D18" s="2">
        <f>'Beat 51'!E18+'Beat 52'!E18+'Beat 53'!E18+'Beat 54'!E18+'Beat 55'!E18+'Beat 56'!E18</f>
        <v>2</v>
      </c>
      <c r="E18" s="42">
        <f t="shared" si="0"/>
        <v>0.74590163934426235</v>
      </c>
      <c r="F18" s="106">
        <f>'Beat 51'!G18+'Beat 52'!G18+'Beat 53'!G18+'Beat 54'!G18+'Beat 55'!G18+'Beat 56'!G18</f>
        <v>8</v>
      </c>
      <c r="G18" s="263">
        <f>'Previous 28 Days'!J7</f>
        <v>2</v>
      </c>
      <c r="H18" s="42">
        <f>'Beat 51'!H18+'Beat 52'!H18+'Beat 53'!H18+'Beat 54'!H18+'Beat 55'!H18+'Beat 56'!H18</f>
        <v>2.9836065573770494</v>
      </c>
      <c r="I18" s="111">
        <f>'Beat 51'!I18+'Beat 52'!I18+'Beat 53'!I18+'Beat 54'!I18+'Beat 55'!I18+'Beat 56'!I18</f>
        <v>17</v>
      </c>
      <c r="J18" s="2">
        <f>'Beat 51'!J18+'Beat 52'!J18+'Beat 53'!J18+'Beat 54'!J18+'Beat 55'!J18+'Beat 56'!J18</f>
        <v>10</v>
      </c>
      <c r="K18" s="2">
        <f>'Beat 51'!K18+'Beat 52'!K18+'Beat 53'!K18+'Beat 54'!K18+'Beat 55'!K18+'Beat 56'!K18</f>
        <v>5</v>
      </c>
      <c r="L18" s="52">
        <f t="shared" si="3"/>
        <v>7</v>
      </c>
      <c r="M18" s="53">
        <f t="shared" si="1"/>
        <v>12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8</v>
      </c>
      <c r="D19" s="12">
        <f t="shared" si="7"/>
        <v>6</v>
      </c>
      <c r="E19" s="43">
        <f>SUM(E11:E18)</f>
        <v>3.4046335803578107</v>
      </c>
      <c r="F19" s="104">
        <f t="shared" si="7"/>
        <v>21</v>
      </c>
      <c r="G19" s="12">
        <f t="shared" si="7"/>
        <v>9</v>
      </c>
      <c r="H19" s="43">
        <f>SUM(H11:H18)</f>
        <v>13.618534321431243</v>
      </c>
      <c r="I19" s="110">
        <f t="shared" si="7"/>
        <v>64</v>
      </c>
      <c r="J19" s="70">
        <f t="shared" si="7"/>
        <v>63</v>
      </c>
      <c r="K19" s="46">
        <f t="shared" si="7"/>
        <v>55</v>
      </c>
      <c r="L19" s="54">
        <f>(I19-J19)/J19</f>
        <v>1.5873015873015872E-2</v>
      </c>
      <c r="M19" s="55">
        <f>(I19-K19)/K19</f>
        <v>0.16363636363636364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51'!F21+'Beat 52'!F21+'Beat 53'!F21+'Beat 54'!F21+'Beat 55'!F21+'Beat 56'!F21</f>
        <v>0</v>
      </c>
      <c r="D21" s="2">
        <f>'Beat 51'!E21+'Beat 52'!E21+'Beat 53'!E21+'Beat 54'!E21+'Beat 55'!E21+'Beat 56'!E21</f>
        <v>1</v>
      </c>
      <c r="E21" s="42">
        <f t="shared" ref="E21:E29" si="8">H21/4</f>
        <v>0.47814207650273227</v>
      </c>
      <c r="F21" s="106">
        <f>'Beat 51'!G21+'Beat 52'!G21+'Beat 53'!G21+'Beat 54'!G21+'Beat 55'!G21+'Beat 56'!G21</f>
        <v>1</v>
      </c>
      <c r="G21" s="263">
        <f>'Previous 28 Days'!C7</f>
        <v>2</v>
      </c>
      <c r="H21" s="42">
        <f>'Beat 51'!H21+'Beat 52'!H21+'Beat 53'!H21+'Beat 54'!H21+'Beat 55'!H21+'Beat 56'!H21</f>
        <v>1.9125683060109291</v>
      </c>
      <c r="I21" s="111">
        <f>'Beat 51'!I21+'Beat 52'!I21+'Beat 53'!I21+'Beat 54'!I21+'Beat 55'!I21+'Beat 56'!I21</f>
        <v>3</v>
      </c>
      <c r="J21" s="2">
        <f>'Beat 51'!J21+'Beat 52'!J21+'Beat 53'!J21+'Beat 54'!J21+'Beat 55'!J21+'Beat 56'!J21</f>
        <v>14</v>
      </c>
      <c r="K21" s="2">
        <f>'Beat 51'!K21+'Beat 52'!K21+'Beat 53'!K21+'Beat 54'!K21+'Beat 55'!K21+'Beat 56'!K21</f>
        <v>4</v>
      </c>
      <c r="L21" s="52">
        <f>I21-J21</f>
        <v>-11</v>
      </c>
      <c r="M21" s="53">
        <f>I21-K21</f>
        <v>-1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51'!F22+'Beat 52'!F22+'Beat 53'!F22+'Beat 54'!F22+'Beat 55'!F22+'Beat 56'!F22</f>
        <v>10</v>
      </c>
      <c r="D22" s="2">
        <f>'Beat 51'!E22+'Beat 52'!E22+'Beat 53'!E22+'Beat 54'!E22+'Beat 55'!E22+'Beat 56'!E22</f>
        <v>6</v>
      </c>
      <c r="E22" s="42">
        <f t="shared" si="8"/>
        <v>6.0628415300546452</v>
      </c>
      <c r="F22" s="106">
        <f>'Beat 51'!G22+'Beat 52'!G22+'Beat 53'!G22+'Beat 54'!G22+'Beat 55'!G22+'Beat 56'!G22</f>
        <v>23</v>
      </c>
      <c r="G22" s="263">
        <f>'Previous 28 Days'!N7</f>
        <v>12</v>
      </c>
      <c r="H22" s="42">
        <f>'Beat 51'!H22+'Beat 52'!H22+'Beat 53'!H22+'Beat 54'!H22+'Beat 55'!H22+'Beat 56'!H22</f>
        <v>24.251366120218581</v>
      </c>
      <c r="I22" s="111">
        <f>'Beat 51'!I22+'Beat 52'!I22+'Beat 53'!I22+'Beat 54'!I22+'Beat 55'!I22+'Beat 56'!I22</f>
        <v>85</v>
      </c>
      <c r="J22" s="2">
        <f>'Beat 51'!J22+'Beat 52'!J22+'Beat 53'!J22+'Beat 54'!J22+'Beat 55'!J22+'Beat 56'!J22</f>
        <v>89</v>
      </c>
      <c r="K22" s="2">
        <f>'Beat 51'!K22+'Beat 52'!K22+'Beat 53'!K22+'Beat 54'!K22+'Beat 55'!K22+'Beat 56'!K22</f>
        <v>58</v>
      </c>
      <c r="L22" s="52">
        <f t="shared" ref="L22:L29" si="10">I22-J22</f>
        <v>-4</v>
      </c>
      <c r="M22" s="53">
        <f t="shared" ref="M22:M29" si="11">I22-K22</f>
        <v>27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51'!F23+'Beat 52'!F23+'Beat 53'!F23+'Beat 54'!F23+'Beat 55'!F23+'Beat 56'!F23</f>
        <v>0</v>
      </c>
      <c r="D23" s="2">
        <f>'Beat 51'!E23+'Beat 52'!E23+'Beat 53'!E23+'Beat 54'!E23+'Beat 55'!E23+'Beat 56'!E23</f>
        <v>0</v>
      </c>
      <c r="E23" s="42">
        <f>H23/4</f>
        <v>0.2103825136612022</v>
      </c>
      <c r="F23" s="106">
        <f>'Beat 51'!G23+'Beat 52'!G23+'Beat 53'!G23+'Beat 54'!G23+'Beat 55'!G23+'Beat 56'!G23</f>
        <v>0</v>
      </c>
      <c r="G23" s="263">
        <f>'Previous 28 Days'!L7</f>
        <v>1</v>
      </c>
      <c r="H23" s="42">
        <f>'Beat 51'!H23+'Beat 52'!H23+'Beat 53'!H23+'Beat 54'!H23+'Beat 55'!H23+'Beat 56'!H23</f>
        <v>0.84153005464480879</v>
      </c>
      <c r="I23" s="111">
        <f>'Beat 51'!I23+'Beat 52'!I23+'Beat 53'!I23+'Beat 54'!I23+'Beat 55'!I23+'Beat 56'!I23</f>
        <v>3</v>
      </c>
      <c r="J23" s="2">
        <f>'Beat 51'!J23+'Beat 52'!J23+'Beat 53'!J23+'Beat 54'!J23+'Beat 55'!J23+'Beat 56'!J23</f>
        <v>3</v>
      </c>
      <c r="K23" s="2">
        <f>'Beat 51'!K23+'Beat 52'!K23+'Beat 53'!K23+'Beat 54'!K23+'Beat 55'!K23+'Beat 56'!K23</f>
        <v>2</v>
      </c>
      <c r="L23" s="52">
        <f t="shared" si="10"/>
        <v>0</v>
      </c>
      <c r="M23" s="53">
        <f t="shared" si="11"/>
        <v>1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51'!F24+'Beat 52'!F24+'Beat 53'!F24+'Beat 54'!F24+'Beat 55'!F24+'Beat 56'!F24</f>
        <v>6</v>
      </c>
      <c r="D24" s="2">
        <f>'Beat 51'!E24+'Beat 52'!E24+'Beat 53'!E24+'Beat 54'!E24+'Beat 55'!E24+'Beat 56'!E24</f>
        <v>8</v>
      </c>
      <c r="E24" s="42">
        <f t="shared" si="8"/>
        <v>5.7377049180327866</v>
      </c>
      <c r="F24" s="106">
        <f>'Beat 51'!G24+'Beat 52'!G24+'Beat 53'!G24+'Beat 54'!G24+'Beat 55'!G24+'Beat 56'!G24</f>
        <v>26</v>
      </c>
      <c r="G24" s="263">
        <f>'Previous 28 Days'!P7</f>
        <v>12</v>
      </c>
      <c r="H24" s="42">
        <f>'Beat 51'!H24+'Beat 52'!H24+'Beat 53'!H24+'Beat 54'!H24+'Beat 55'!H24+'Beat 56'!H24</f>
        <v>22.950819672131146</v>
      </c>
      <c r="I24" s="111">
        <f>'Beat 51'!I24+'Beat 52'!I24+'Beat 53'!I24+'Beat 54'!I24+'Beat 55'!I24+'Beat 56'!I24</f>
        <v>98</v>
      </c>
      <c r="J24" s="2">
        <f>'Beat 51'!J24+'Beat 52'!J24+'Beat 53'!J24+'Beat 54'!J24+'Beat 55'!J24+'Beat 56'!J24</f>
        <v>102</v>
      </c>
      <c r="K24" s="2">
        <f>'Beat 51'!K24+'Beat 52'!K24+'Beat 53'!K24+'Beat 54'!K24+'Beat 55'!K24+'Beat 56'!K24</f>
        <v>79</v>
      </c>
      <c r="L24" s="52">
        <f t="shared" si="10"/>
        <v>-4</v>
      </c>
      <c r="M24" s="53">
        <f t="shared" si="11"/>
        <v>19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51'!F25+'Beat 52'!F25+'Beat 53'!F25+'Beat 54'!F25+'Beat 55'!F25+'Beat 56'!F25</f>
        <v>4</v>
      </c>
      <c r="D25" s="2">
        <f>'Beat 51'!E25+'Beat 52'!E25+'Beat 53'!E25+'Beat 54'!E25+'Beat 55'!E25+'Beat 56'!E25</f>
        <v>1</v>
      </c>
      <c r="E25" s="42">
        <f>H25/4</f>
        <v>4.9344262295081958</v>
      </c>
      <c r="F25" s="106">
        <f>'Beat 51'!G25+'Beat 52'!G25+'Beat 53'!G25+'Beat 54'!G25+'Beat 55'!G25+'Beat 56'!G25</f>
        <v>15</v>
      </c>
      <c r="G25" s="263">
        <f>'Previous 28 Days'!G7</f>
        <v>16</v>
      </c>
      <c r="H25" s="42">
        <f>'Beat 51'!H25+'Beat 52'!H25+'Beat 53'!H25+'Beat 54'!H25+'Beat 55'!H25+'Beat 56'!H25</f>
        <v>19.737704918032783</v>
      </c>
      <c r="I25" s="111">
        <f>'Beat 51'!I25+'Beat 52'!I25+'Beat 53'!I25+'Beat 54'!I25+'Beat 55'!I25+'Beat 56'!I25</f>
        <v>87</v>
      </c>
      <c r="J25" s="2">
        <f>'Beat 51'!J25+'Beat 52'!J25+'Beat 53'!J25+'Beat 54'!J25+'Beat 55'!J25+'Beat 56'!J25</f>
        <v>78</v>
      </c>
      <c r="K25" s="2">
        <f>'Beat 51'!K25+'Beat 52'!K25+'Beat 53'!K25+'Beat 54'!K25+'Beat 55'!K25+'Beat 56'!K25</f>
        <v>60</v>
      </c>
      <c r="L25" s="52">
        <f t="shared" si="10"/>
        <v>9</v>
      </c>
      <c r="M25" s="53">
        <f t="shared" si="11"/>
        <v>27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51'!F26+'Beat 52'!F26+'Beat 53'!F26+'Beat 54'!F26+'Beat 55'!F26+'Beat 56'!F26</f>
        <v>3</v>
      </c>
      <c r="D26" s="2">
        <f>'Beat 51'!E26+'Beat 52'!E26+'Beat 53'!E26+'Beat 54'!E26+'Beat 55'!E26+'Beat 56'!E26</f>
        <v>2</v>
      </c>
      <c r="E26" s="42">
        <f t="shared" si="8"/>
        <v>2.0464480874316937</v>
      </c>
      <c r="F26" s="106">
        <f>'Beat 51'!G26+'Beat 52'!G26+'Beat 53'!G26+'Beat 54'!G26+'Beat 55'!G26+'Beat 56'!G26</f>
        <v>11</v>
      </c>
      <c r="G26" s="263">
        <f>'Previous 28 Days'!I7</f>
        <v>3</v>
      </c>
      <c r="H26" s="42">
        <f>'Beat 51'!H26+'Beat 52'!H26+'Beat 53'!H26+'Beat 54'!H26+'Beat 55'!H26+'Beat 56'!H26</f>
        <v>8.1857923497267748</v>
      </c>
      <c r="I26" s="111">
        <f>'Beat 51'!I26+'Beat 52'!I26+'Beat 53'!I26+'Beat 54'!I26+'Beat 55'!I26+'Beat 56'!I26</f>
        <v>27</v>
      </c>
      <c r="J26" s="2">
        <f>'Beat 51'!J26+'Beat 52'!J26+'Beat 53'!J26+'Beat 54'!J26+'Beat 55'!J26+'Beat 56'!J26</f>
        <v>25</v>
      </c>
      <c r="K26" s="2">
        <f>'Beat 51'!K26+'Beat 52'!K26+'Beat 53'!K26+'Beat 54'!K26+'Beat 55'!K26+'Beat 56'!K26</f>
        <v>27</v>
      </c>
      <c r="L26" s="52">
        <f t="shared" si="10"/>
        <v>2</v>
      </c>
      <c r="M26" s="53">
        <f t="shared" si="11"/>
        <v>0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">
      <c r="A27" s="19"/>
      <c r="B27" s="10" t="s">
        <v>67</v>
      </c>
      <c r="C27" s="103">
        <f>'Beat 51'!F27+'Beat 52'!F27+'Beat 53'!F27+'Beat 54'!F27+'Beat 55'!F27+'Beat 56'!F27</f>
        <v>2</v>
      </c>
      <c r="D27" s="2">
        <f>'Beat 51'!E27+'Beat 52'!E27+'Beat 53'!E27+'Beat 54'!E27+'Beat 55'!E27+'Beat 56'!E27</f>
        <v>3</v>
      </c>
      <c r="E27" s="42">
        <f>H27/4</f>
        <v>3.959016393442623</v>
      </c>
      <c r="F27" s="106">
        <f>'Beat 51'!G27+'Beat 52'!G27+'Beat 53'!G27+'Beat 54'!G27+'Beat 55'!G27+'Beat 56'!G27</f>
        <v>9</v>
      </c>
      <c r="G27" s="263">
        <f>'Previous 28 Days'!H7</f>
        <v>10</v>
      </c>
      <c r="H27" s="42">
        <f>'Beat 51'!H27+'Beat 52'!H27+'Beat 53'!H27+'Beat 54'!H27+'Beat 55'!H27+'Beat 56'!H27</f>
        <v>15.836065573770492</v>
      </c>
      <c r="I27" s="111">
        <f>'Beat 51'!I27+'Beat 52'!I27+'Beat 53'!I27+'Beat 54'!I27+'Beat 55'!I27+'Beat 56'!I27</f>
        <v>48</v>
      </c>
      <c r="J27" s="2">
        <f>'Beat 51'!J27+'Beat 52'!J27+'Beat 53'!J27+'Beat 54'!J27+'Beat 55'!J27+'Beat 56'!J27</f>
        <v>64</v>
      </c>
      <c r="K27" s="2">
        <f>'Beat 51'!K27+'Beat 52'!K27+'Beat 53'!K27+'Beat 54'!K27+'Beat 55'!K27+'Beat 56'!K27</f>
        <v>53</v>
      </c>
      <c r="L27" s="52">
        <f t="shared" si="10"/>
        <v>-16</v>
      </c>
      <c r="M27" s="53">
        <f t="shared" si="11"/>
        <v>-5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">
      <c r="A28" s="19"/>
      <c r="B28" s="10" t="s">
        <v>34</v>
      </c>
      <c r="C28" s="103">
        <f>'Beat 51'!F28+'Beat 52'!F28+'Beat 53'!F28+'Beat 54'!F28+'Beat 55'!F28+'Beat 56'!F28</f>
        <v>1</v>
      </c>
      <c r="D28" s="2">
        <f>'Beat 51'!E28+'Beat 52'!E28+'Beat 53'!E28+'Beat 54'!E28+'Beat 55'!E28+'Beat 56'!E28</f>
        <v>1</v>
      </c>
      <c r="E28" s="42">
        <f t="shared" si="8"/>
        <v>0.59289617486338808</v>
      </c>
      <c r="F28" s="106">
        <f>'Beat 51'!G28+'Beat 52'!G28+'Beat 53'!G28+'Beat 54'!G28+'Beat 55'!G28+'Beat 56'!G28</f>
        <v>2</v>
      </c>
      <c r="G28" s="263">
        <f>'Previous 28 Days'!K7</f>
        <v>2</v>
      </c>
      <c r="H28" s="42">
        <f>'Beat 51'!H28+'Beat 52'!H28+'Beat 53'!H28+'Beat 54'!H28+'Beat 55'!H28+'Beat 56'!H28</f>
        <v>2.3715846994535523</v>
      </c>
      <c r="I28" s="111">
        <f>'Beat 51'!I28+'Beat 52'!I28+'Beat 53'!I28+'Beat 54'!I28+'Beat 55'!I28+'Beat 56'!I28</f>
        <v>10</v>
      </c>
      <c r="J28" s="2">
        <f>'Beat 51'!J28+'Beat 52'!J28+'Beat 53'!J28+'Beat 54'!J28+'Beat 55'!J28+'Beat 56'!J28</f>
        <v>14</v>
      </c>
      <c r="K28" s="2">
        <f>'Beat 51'!K28+'Beat 52'!K28+'Beat 53'!K28+'Beat 54'!K28+'Beat 55'!K28+'Beat 56'!K28</f>
        <v>6</v>
      </c>
      <c r="L28" s="52">
        <f t="shared" si="10"/>
        <v>-4</v>
      </c>
      <c r="M28" s="53">
        <f t="shared" si="11"/>
        <v>4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51'!F29+'Beat 52'!F29+'Beat 53'!F29+'Beat 54'!F29+'Beat 55'!F29+'Beat 56'!F29</f>
        <v>2</v>
      </c>
      <c r="D29" s="2">
        <f>'Beat 51'!E29+'Beat 52'!E29+'Beat 53'!E29+'Beat 54'!E29+'Beat 55'!E29+'Beat 56'!E29</f>
        <v>5</v>
      </c>
      <c r="E29" s="42">
        <f t="shared" si="8"/>
        <v>2.6775956284153004</v>
      </c>
      <c r="F29" s="106">
        <f>'Beat 51'!G29+'Beat 52'!G29+'Beat 53'!G29+'Beat 54'!G29+'Beat 55'!G29+'Beat 56'!G29</f>
        <v>11</v>
      </c>
      <c r="G29" s="263">
        <f>'Previous 28 Days'!B7</f>
        <v>6</v>
      </c>
      <c r="H29" s="42">
        <f>'Beat 51'!H29+'Beat 52'!H29+'Beat 53'!H29+'Beat 54'!H29+'Beat 55'!H29+'Beat 56'!H29</f>
        <v>10.710382513661202</v>
      </c>
      <c r="I29" s="111">
        <f>'Beat 51'!I29+'Beat 52'!I29+'Beat 53'!I29+'Beat 54'!I29+'Beat 55'!I29+'Beat 56'!I29</f>
        <v>44</v>
      </c>
      <c r="J29" s="2">
        <f>'Beat 51'!J29+'Beat 52'!J29+'Beat 53'!J29+'Beat 54'!J29+'Beat 55'!J29+'Beat 56'!J29</f>
        <v>48</v>
      </c>
      <c r="K29" s="2">
        <f>'Beat 51'!K29+'Beat 52'!K29+'Beat 53'!K29+'Beat 54'!K29+'Beat 55'!K29+'Beat 56'!K29</f>
        <v>34</v>
      </c>
      <c r="L29" s="52">
        <f t="shared" si="10"/>
        <v>-4</v>
      </c>
      <c r="M29" s="53">
        <f t="shared" si="11"/>
        <v>10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">
      <c r="A30" s="19"/>
      <c r="B30" s="14" t="s">
        <v>5</v>
      </c>
      <c r="C30" s="108">
        <f t="shared" ref="C30:K30" si="12">SUM(C21:C29)</f>
        <v>28</v>
      </c>
      <c r="D30" s="13">
        <f t="shared" si="12"/>
        <v>27</v>
      </c>
      <c r="E30" s="69">
        <f t="shared" si="12"/>
        <v>26.699453551912569</v>
      </c>
      <c r="F30" s="108">
        <f t="shared" si="12"/>
        <v>98</v>
      </c>
      <c r="G30" s="13">
        <f t="shared" si="12"/>
        <v>64</v>
      </c>
      <c r="H30" s="69">
        <f t="shared" si="12"/>
        <v>106.79781420765028</v>
      </c>
      <c r="I30" s="109">
        <f t="shared" si="12"/>
        <v>405</v>
      </c>
      <c r="J30" s="13">
        <f t="shared" si="12"/>
        <v>437</v>
      </c>
      <c r="K30" s="47">
        <f t="shared" si="12"/>
        <v>323</v>
      </c>
      <c r="L30" s="54">
        <f>(I30-J30)/J30</f>
        <v>-7.3226544622425629E-2</v>
      </c>
      <c r="M30" s="55">
        <f>(I30-K30)/K30</f>
        <v>0.25386996904024767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5" thickBot="1" x14ac:dyDescent="0.25">
      <c r="A31" s="19"/>
      <c r="B31" s="11" t="s">
        <v>6</v>
      </c>
      <c r="C31" s="104">
        <f>C30+C19</f>
        <v>36</v>
      </c>
      <c r="D31" s="12">
        <f>D30+D19</f>
        <v>33</v>
      </c>
      <c r="E31" s="68">
        <f t="shared" ref="E31:K31" si="13">E30+E19</f>
        <v>30.104087132270379</v>
      </c>
      <c r="F31" s="104">
        <f t="shared" si="13"/>
        <v>119</v>
      </c>
      <c r="G31" s="12">
        <f t="shared" si="13"/>
        <v>73</v>
      </c>
      <c r="H31" s="68">
        <f t="shared" si="13"/>
        <v>120.41634852908152</v>
      </c>
      <c r="I31" s="107">
        <f t="shared" si="13"/>
        <v>469</v>
      </c>
      <c r="J31" s="12">
        <f t="shared" si="13"/>
        <v>500</v>
      </c>
      <c r="K31" s="46">
        <f t="shared" si="13"/>
        <v>378</v>
      </c>
      <c r="L31" s="54">
        <f>(I31-J31)/J31</f>
        <v>-6.2E-2</v>
      </c>
      <c r="M31" s="55">
        <f>(I31-K31)/K31</f>
        <v>0.24074074074074073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-31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199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233</v>
      </c>
      <c r="D40" s="250" t="s">
        <v>222</v>
      </c>
      <c r="E40" s="96" t="s">
        <v>181</v>
      </c>
      <c r="F40" s="95" t="s">
        <v>234</v>
      </c>
      <c r="G40" s="253">
        <v>42826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service'!F6</f>
        <v>56</v>
      </c>
      <c r="D41" s="89">
        <f>+'Calls for service'!F14</f>
        <v>74</v>
      </c>
      <c r="E41" s="66">
        <f>+'Calls for service'!F30</f>
        <v>82.446575342465749</v>
      </c>
      <c r="F41" s="71">
        <f>+'Calls for service'!P6</f>
        <v>282</v>
      </c>
      <c r="G41" s="71">
        <f>+'Calls for service'!P14</f>
        <v>290</v>
      </c>
      <c r="H41" s="66">
        <f>+'Calls for service'!P30</f>
        <v>329.786301369863</v>
      </c>
      <c r="I41" s="71">
        <f>+'Calls for service'!Z22</f>
        <v>1258</v>
      </c>
      <c r="J41" s="71">
        <f>+'Calls for service'!Z14</f>
        <v>1293</v>
      </c>
      <c r="K41" s="66">
        <f>+'Calls for service'!Z30</f>
        <v>1284.6666666666667</v>
      </c>
      <c r="L41" s="91">
        <f>+I41-J41</f>
        <v>-35</v>
      </c>
      <c r="M41" s="56">
        <f>+I41-K41</f>
        <v>-26.666666666666742</v>
      </c>
      <c r="N41" s="18"/>
    </row>
    <row r="42" spans="1:14" x14ac:dyDescent="0.2">
      <c r="A42" s="19"/>
      <c r="B42" s="10" t="s">
        <v>52</v>
      </c>
      <c r="C42" s="90">
        <f>+'Calls for service'!F5</f>
        <v>185</v>
      </c>
      <c r="D42" s="90">
        <f>+'Calls for service'!F13</f>
        <v>190</v>
      </c>
      <c r="E42" s="67">
        <f>+'Calls for service'!F29</f>
        <v>190.18904109589042</v>
      </c>
      <c r="F42" s="71">
        <f>+'Calls for service'!P5</f>
        <v>750</v>
      </c>
      <c r="G42" s="71">
        <f>+'Calls for service'!P13</f>
        <v>755</v>
      </c>
      <c r="H42" s="67">
        <f>+'Calls for service'!P29</f>
        <v>760.75616438356167</v>
      </c>
      <c r="I42" s="71">
        <f>+'Calls for service'!Z21</f>
        <v>3098</v>
      </c>
      <c r="J42" s="71">
        <f>+'Calls for service'!Z13</f>
        <v>3280</v>
      </c>
      <c r="K42" s="67">
        <f>+'Calls for service'!Z29</f>
        <v>3170.6666666666665</v>
      </c>
      <c r="L42" s="76">
        <f>+I42-J42</f>
        <v>-182</v>
      </c>
      <c r="M42" s="53">
        <f>+I42-K42</f>
        <v>-72.666666666666515</v>
      </c>
      <c r="N42" s="18"/>
    </row>
    <row r="43" spans="1:14" x14ac:dyDescent="0.2">
      <c r="A43" s="19"/>
      <c r="B43" s="10" t="s">
        <v>53</v>
      </c>
      <c r="C43" s="90">
        <f>+'Calls for service'!F4</f>
        <v>242</v>
      </c>
      <c r="D43" s="90">
        <f>+'Calls for service'!F12</f>
        <v>205</v>
      </c>
      <c r="E43" s="67">
        <f>+'Calls for service'!F28</f>
        <v>218.87945205479451</v>
      </c>
      <c r="F43" s="71">
        <f>+'Calls for service'!P4</f>
        <v>849</v>
      </c>
      <c r="G43" s="71">
        <f>+'Calls for service'!P12</f>
        <v>815</v>
      </c>
      <c r="H43" s="67">
        <f>+'Calls for service'!P28</f>
        <v>875.51780821917805</v>
      </c>
      <c r="I43" s="71">
        <f>+'Calls for service'!Z20</f>
        <v>3403</v>
      </c>
      <c r="J43" s="71">
        <f>+'Calls for service'!Z12</f>
        <v>3750</v>
      </c>
      <c r="K43" s="67">
        <f>+'Calls for service'!Z28</f>
        <v>3583</v>
      </c>
      <c r="L43" s="76">
        <f>+I43-J43</f>
        <v>-347</v>
      </c>
      <c r="M43" s="53">
        <f>+I43-K43</f>
        <v>-180</v>
      </c>
      <c r="N43" s="18"/>
    </row>
    <row r="44" spans="1:14" ht="13.5" thickBot="1" x14ac:dyDescent="0.25">
      <c r="A44" s="19"/>
      <c r="B44" s="11" t="s">
        <v>54</v>
      </c>
      <c r="C44" s="87">
        <f>SUM(C41:C43)</f>
        <v>483</v>
      </c>
      <c r="D44" s="340">
        <f>SUM(D41:D43)</f>
        <v>469</v>
      </c>
      <c r="E44" s="69">
        <f t="shared" ref="E44:H44" si="14">SUM(E41:E43)</f>
        <v>491.51506849315069</v>
      </c>
      <c r="F44" s="329">
        <f>SUM(F41:F43)</f>
        <v>1881</v>
      </c>
      <c r="G44" s="47">
        <f t="shared" si="14"/>
        <v>1860</v>
      </c>
      <c r="H44" s="69">
        <f t="shared" si="14"/>
        <v>1966.0602739726028</v>
      </c>
      <c r="I44" s="329">
        <f>SUM(I41:I43)</f>
        <v>7759</v>
      </c>
      <c r="J44" s="329">
        <f>SUM(J41:J43)</f>
        <v>8323</v>
      </c>
      <c r="K44" s="338">
        <f>SUM(K41:K43)</f>
        <v>8038.333333333333</v>
      </c>
      <c r="L44" s="339">
        <f>+(I44-J44)/J44</f>
        <v>-6.7764027393968515E-2</v>
      </c>
      <c r="M44" s="331">
        <f>+(I44-K44)/K44</f>
        <v>-3.4750155504872447E-2</v>
      </c>
      <c r="N44" s="18"/>
    </row>
    <row r="45" spans="1:14" s="215" customFormat="1" x14ac:dyDescent="0.2">
      <c r="A45" s="19"/>
      <c r="B45" s="343" t="s">
        <v>75</v>
      </c>
      <c r="C45" s="488">
        <f>'Beat 51'!F41+'Beat 52'!F41+'Beat 53'!F41+'Beat 54'!F41+'Beat 55'!F41+'Beat 56'!F41</f>
        <v>1</v>
      </c>
      <c r="D45" s="489">
        <f>'Beat 51'!E41+'Beat 52'!E41+'Beat 53'!E41+'Beat 54'!E41+'Beat 55'!E41+'Beat 56'!E41</f>
        <v>1</v>
      </c>
      <c r="E45" s="334">
        <f>H45/4</f>
        <v>2.8958904109589043</v>
      </c>
      <c r="F45" s="486">
        <f>'Beat 51'!G41+'Beat 52'!G41+'Beat 53'!G41+'Beat 54'!G41+'Beat 55'!G41+'Beat 56'!G41</f>
        <v>5</v>
      </c>
      <c r="G45" s="332">
        <f>'Previous 28 Days'!B18</f>
        <v>15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52</v>
      </c>
      <c r="J45" s="486">
        <f>'Beat 51'!J41+'Beat 52'!J41+'Beat 53'!J41+'Beat 54'!J41+'Beat 55'!J41+'Beat 56'!J41</f>
        <v>62</v>
      </c>
      <c r="K45" s="486">
        <f>'Beat 51'!K41+'Beat 52'!K41+'Beat 53'!K41+'Beat 54'!K41+'Beat 55'!K41+'Beat 56'!K41</f>
        <v>16</v>
      </c>
      <c r="L45" s="336">
        <f>I45-J45</f>
        <v>-10</v>
      </c>
      <c r="M45" s="333">
        <f>I45-K45</f>
        <v>36</v>
      </c>
      <c r="N45" s="216"/>
    </row>
    <row r="46" spans="1:14" ht="13.5" thickBot="1" x14ac:dyDescent="0.25">
      <c r="A46" s="19"/>
      <c r="B46" s="344" t="s">
        <v>76</v>
      </c>
      <c r="C46" s="490">
        <f>'Beat 51'!F42+'Beat 52'!F42+'Beat 53'!F42+'Beat 54'!F42+'Beat 55'!F42+'Beat 56'!F42</f>
        <v>12</v>
      </c>
      <c r="D46" s="480">
        <f>'Beat 51'!E42+'Beat 52'!E42+'Beat 53'!E42+'Beat 54'!E42+'Beat 55'!E42+'Beat 56'!E42</f>
        <v>8</v>
      </c>
      <c r="E46" s="335">
        <f>H46/4</f>
        <v>15.534246575342467</v>
      </c>
      <c r="F46" s="348">
        <f>'Beat 51'!G42+'Beat 52'!G42+'Beat 53'!G42+'Beat 54'!G42+'Beat 55'!G42+'Beat 56'!G42</f>
        <v>42</v>
      </c>
      <c r="G46" s="298">
        <f>'Previous 28 Days'!C18</f>
        <v>51</v>
      </c>
      <c r="H46" s="499">
        <f>'Beat 51'!H42+'Beat 52'!H42+'Beat 53'!H42+'Beat 54'!H42+'Beat 55'!H42+'Beat 56'!H42</f>
        <v>62.136986301369866</v>
      </c>
      <c r="I46" s="348">
        <f>'Beat 51'!I42+'Beat 52'!I42+'Beat 53'!I42+'Beat 54'!I42+'Beat 55'!I42+'Beat 56'!I42</f>
        <v>215</v>
      </c>
      <c r="J46" s="348">
        <f>'Beat 51'!J42+'Beat 52'!J42+'Beat 53'!J42+'Beat 54'!J42+'Beat 55'!J42+'Beat 56'!J42</f>
        <v>297</v>
      </c>
      <c r="K46" s="487">
        <f>'Beat 51'!K42+'Beat 52'!K42+'Beat 53'!K42+'Beat 54'!K42+'Beat 55'!K42+'Beat 56'!K42</f>
        <v>204</v>
      </c>
      <c r="L46" s="337">
        <f>I46-J46</f>
        <v>-82</v>
      </c>
      <c r="M46" s="328">
        <f>I46-K46</f>
        <v>11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7" type="noConversion"/>
  <conditionalFormatting sqref="L32:M32 M47">
    <cfRule type="cellIs" dxfId="35" priority="9" stopIfTrue="1" operator="greaterThan">
      <formula>0</formula>
    </cfRule>
  </conditionalFormatting>
  <conditionalFormatting sqref="C11:C12 C21:C29 C14:C18">
    <cfRule type="cellIs" dxfId="34" priority="12" stopIfTrue="1" operator="greaterThan">
      <formula>E11+P11</formula>
    </cfRule>
    <cfRule type="cellIs" dxfId="33" priority="13" stopIfTrue="1" operator="lessThan">
      <formula>E11-P11</formula>
    </cfRule>
  </conditionalFormatting>
  <conditionalFormatting sqref="F21:F29 F11:F12 F14:F18">
    <cfRule type="cellIs" dxfId="32" priority="14" stopIfTrue="1" operator="greaterThan">
      <formula>H11+Q11</formula>
    </cfRule>
    <cfRule type="cellIs" dxfId="31" priority="15" stopIfTrue="1" operator="lessThan">
      <formula>H11-Q11</formula>
    </cfRule>
  </conditionalFormatting>
  <conditionalFormatting sqref="I11:I12 I21:I29 I14:I18">
    <cfRule type="cellIs" dxfId="30" priority="16" stopIfTrue="1" operator="greaterThan">
      <formula>J11+R11</formula>
    </cfRule>
    <cfRule type="cellIs" dxfId="29" priority="17" stopIfTrue="1" operator="lessThan">
      <formula>J11-R11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Data'!F62</f>
        <v>0.15300546448087432</v>
      </c>
      <c r="I11" s="403">
        <f>'YTD 2017'!F31</f>
        <v>0</v>
      </c>
      <c r="J11" s="401">
        <f>'YTD 2016'!F31</f>
        <v>1</v>
      </c>
      <c r="K11" s="401">
        <f>'YTD 2015'!F31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Data'!M62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Rapes'!E34</f>
        <v>0</v>
      </c>
      <c r="D13" s="556">
        <f>'New Rapes'!D34</f>
        <v>0</v>
      </c>
      <c r="E13" s="555">
        <f>'New Rapes'!C34</f>
        <v>0</v>
      </c>
      <c r="F13" s="555">
        <f>'New Rapes'!B34</f>
        <v>0</v>
      </c>
      <c r="G13" s="452">
        <f t="shared" si="2"/>
        <v>0</v>
      </c>
      <c r="H13" s="576">
        <v>0.15342465753424658</v>
      </c>
      <c r="I13" s="557">
        <f>'New Rapes'!G34</f>
        <v>0</v>
      </c>
      <c r="J13" s="556">
        <f>'New Rapes'!H34</f>
        <v>1</v>
      </c>
      <c r="K13" s="556">
        <f>'New Rapes'!I34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ago'!D31</f>
        <v>2</v>
      </c>
      <c r="D14" s="401">
        <f>'3 weeks ago'!D31</f>
        <v>1</v>
      </c>
      <c r="E14" s="402">
        <f>'Previous Week'!D31</f>
        <v>0</v>
      </c>
      <c r="F14" s="402">
        <f>'Last Week'!D31</f>
        <v>1</v>
      </c>
      <c r="G14" s="452">
        <f t="shared" si="2"/>
        <v>4</v>
      </c>
      <c r="H14" s="491">
        <f>'2016 Data'!D62</f>
        <v>0.38251366120218577</v>
      </c>
      <c r="I14" s="403">
        <f>'YTD 2017'!D31</f>
        <v>9</v>
      </c>
      <c r="J14" s="401">
        <f>'YTD 2016'!D31</f>
        <v>0</v>
      </c>
      <c r="K14" s="401">
        <f>'YTD 2015'!D31</f>
        <v>0</v>
      </c>
      <c r="L14" s="404">
        <f t="shared" si="0"/>
        <v>9</v>
      </c>
      <c r="M14" s="407">
        <f t="shared" si="1"/>
        <v>9</v>
      </c>
      <c r="N14" s="380"/>
    </row>
    <row r="15" spans="1:14" x14ac:dyDescent="0.25">
      <c r="A15" s="375"/>
      <c r="B15" s="406" t="s">
        <v>30</v>
      </c>
      <c r="C15" s="401">
        <f>'4 weeks ago'!Q31</f>
        <v>0</v>
      </c>
      <c r="D15" s="401">
        <f>'3 weeks ago'!Q31</f>
        <v>0</v>
      </c>
      <c r="E15" s="402">
        <f>'Previous Week'!Q31</f>
        <v>1</v>
      </c>
      <c r="F15" s="402">
        <f>'Last Week'!Q31</f>
        <v>0</v>
      </c>
      <c r="G15" s="452">
        <f t="shared" si="2"/>
        <v>1</v>
      </c>
      <c r="H15" s="491">
        <f>'2016 Data'!Q62</f>
        <v>1.5300546448087431</v>
      </c>
      <c r="I15" s="403">
        <f>'YTD 2017'!Q31</f>
        <v>2</v>
      </c>
      <c r="J15" s="401">
        <f>'YTD 2016'!Q31</f>
        <v>9</v>
      </c>
      <c r="K15" s="401">
        <f>'YTD 2015'!Q31</f>
        <v>7</v>
      </c>
      <c r="L15" s="404">
        <f t="shared" si="0"/>
        <v>-7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ago'!O31</f>
        <v>0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0</v>
      </c>
      <c r="H16" s="491">
        <f>'2016 Data'!O62</f>
        <v>0.30601092896174864</v>
      </c>
      <c r="I16" s="403">
        <f>'YTD 2017'!O31</f>
        <v>0</v>
      </c>
      <c r="J16" s="401">
        <f>'YTD 2016'!O31</f>
        <v>0</v>
      </c>
      <c r="K16" s="401">
        <f>'YTD 2015'!O31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40</v>
      </c>
      <c r="C17" s="401">
        <f>'4 weeks ago'!E31</f>
        <v>0</v>
      </c>
      <c r="D17" s="401">
        <f>'3 weeks ago'!E31</f>
        <v>0</v>
      </c>
      <c r="E17" s="402">
        <f>'Previous Week'!E31</f>
        <v>0</v>
      </c>
      <c r="F17" s="402">
        <f>'Last Week'!E31</f>
        <v>0</v>
      </c>
      <c r="G17" s="452">
        <f t="shared" si="2"/>
        <v>0</v>
      </c>
      <c r="H17" s="491">
        <f>'2016 Data'!E62</f>
        <v>1.6065573770491803</v>
      </c>
      <c r="I17" s="403">
        <f>'YTD 2017'!E31</f>
        <v>5</v>
      </c>
      <c r="J17" s="401">
        <f>'YTD 2016'!E31</f>
        <v>13</v>
      </c>
      <c r="K17" s="401">
        <f>'YTD 2015'!E31</f>
        <v>6</v>
      </c>
      <c r="L17" s="404">
        <f t="shared" si="0"/>
        <v>-8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ago'!J31</f>
        <v>1</v>
      </c>
      <c r="D18" s="401">
        <f>'3 weeks ago'!J31</f>
        <v>0</v>
      </c>
      <c r="E18" s="402">
        <f>'Previous Week'!J31</f>
        <v>1</v>
      </c>
      <c r="F18" s="402">
        <f>'Last Week'!J31</f>
        <v>0</v>
      </c>
      <c r="G18" s="452">
        <f t="shared" si="2"/>
        <v>2</v>
      </c>
      <c r="H18" s="491">
        <f>'2016 Data'!J62</f>
        <v>0.68852459016393441</v>
      </c>
      <c r="I18" s="403">
        <f>'YTD 2017'!J31</f>
        <v>3</v>
      </c>
      <c r="J18" s="401">
        <f>'YTD 2016'!J31</f>
        <v>2</v>
      </c>
      <c r="K18" s="401">
        <f>'YTD 2015'!J31</f>
        <v>1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3</v>
      </c>
      <c r="D19" s="409">
        <f t="shared" si="3"/>
        <v>1</v>
      </c>
      <c r="E19" s="409">
        <f t="shared" si="3"/>
        <v>2</v>
      </c>
      <c r="F19" s="410">
        <f t="shared" si="3"/>
        <v>1</v>
      </c>
      <c r="G19" s="453">
        <f t="shared" si="3"/>
        <v>7</v>
      </c>
      <c r="H19" s="492">
        <f t="shared" ref="H19" si="4">SUM(H11:H18)</f>
        <v>4.9730967886817883</v>
      </c>
      <c r="I19" s="411">
        <f t="shared" si="3"/>
        <v>19</v>
      </c>
      <c r="J19" s="409">
        <f t="shared" si="3"/>
        <v>26</v>
      </c>
      <c r="K19" s="409">
        <f t="shared" si="3"/>
        <v>16</v>
      </c>
      <c r="L19" s="412">
        <f>(I19-J19)/J19</f>
        <v>-0.26923076923076922</v>
      </c>
      <c r="M19" s="413">
        <f>(I19-K19)/K19</f>
        <v>0.1875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ago'!C31</f>
        <v>0</v>
      </c>
      <c r="D21" s="401">
        <f>'3 weeks ago'!C31</f>
        <v>0</v>
      </c>
      <c r="E21" s="402">
        <f>'Previous Week'!C31</f>
        <v>1</v>
      </c>
      <c r="F21" s="402">
        <f>'Last Week'!C31</f>
        <v>0</v>
      </c>
      <c r="G21" s="452">
        <f t="shared" ref="G21:G29" si="5">SUM(C21:F21)</f>
        <v>1</v>
      </c>
      <c r="H21" s="491">
        <f>'2016 Data'!C62</f>
        <v>1.1475409836065573</v>
      </c>
      <c r="I21" s="416">
        <f>'YTD 2017'!C31</f>
        <v>2</v>
      </c>
      <c r="J21" s="401">
        <f>'YTD 2016'!C31</f>
        <v>10</v>
      </c>
      <c r="K21" s="401">
        <f>'YTD 2015'!C31</f>
        <v>0</v>
      </c>
      <c r="L21" s="404">
        <f t="shared" ref="L21:L29" si="6">I21-J21</f>
        <v>-8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ago'!N31</f>
        <v>1</v>
      </c>
      <c r="D22" s="401">
        <f>'3 weeks ago'!N31</f>
        <v>0</v>
      </c>
      <c r="E22" s="402">
        <f>'Previous Week'!N31</f>
        <v>1</v>
      </c>
      <c r="F22" s="402">
        <f>'Last Week'!N31</f>
        <v>1</v>
      </c>
      <c r="G22" s="452">
        <f t="shared" si="5"/>
        <v>3</v>
      </c>
      <c r="H22" s="491">
        <f>'2016 Data'!N62</f>
        <v>6.8087431693989071</v>
      </c>
      <c r="I22" s="418">
        <f>'YTD 2017'!N31</f>
        <v>18</v>
      </c>
      <c r="J22" s="401">
        <f>'YTD 2016'!N31</f>
        <v>35</v>
      </c>
      <c r="K22" s="401">
        <f>'YTD 2015'!N31</f>
        <v>13</v>
      </c>
      <c r="L22" s="404">
        <f t="shared" si="6"/>
        <v>-17</v>
      </c>
      <c r="M22" s="407">
        <f t="shared" ref="M22:M29" si="7">I22-K22</f>
        <v>5</v>
      </c>
      <c r="N22" s="380"/>
    </row>
    <row r="23" spans="1:14" x14ac:dyDescent="0.25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Data'!L62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ago'!P31</f>
        <v>4</v>
      </c>
      <c r="D24" s="401">
        <f>'3 weeks ago'!P31</f>
        <v>5</v>
      </c>
      <c r="E24" s="402">
        <f>'Previous Week'!P31</f>
        <v>4</v>
      </c>
      <c r="F24" s="402">
        <f>'Last Week'!P31</f>
        <v>4</v>
      </c>
      <c r="G24" s="403">
        <f t="shared" si="5"/>
        <v>17</v>
      </c>
      <c r="H24" s="491">
        <f>'2016 Data'!P62</f>
        <v>13.693989071038251</v>
      </c>
      <c r="I24" s="418">
        <f>'YTD 2017'!P31</f>
        <v>67</v>
      </c>
      <c r="J24" s="401">
        <f>'YTD 2016'!P31</f>
        <v>60</v>
      </c>
      <c r="K24" s="401">
        <f>'YTD 2015'!P31</f>
        <v>62</v>
      </c>
      <c r="L24" s="404">
        <f t="shared" si="6"/>
        <v>7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ago'!G31</f>
        <v>2</v>
      </c>
      <c r="D25" s="401">
        <f>'3 weeks ago'!G31</f>
        <v>4</v>
      </c>
      <c r="E25" s="402">
        <f>'Previous Week'!G31</f>
        <v>0</v>
      </c>
      <c r="F25" s="402">
        <f>'Last Week'!G31</f>
        <v>1</v>
      </c>
      <c r="G25" s="403">
        <f t="shared" si="5"/>
        <v>7</v>
      </c>
      <c r="H25" s="491">
        <f>'2016 Data'!G62</f>
        <v>5.7377049180327866</v>
      </c>
      <c r="I25" s="418">
        <f>'YTD 2017'!G31</f>
        <v>35</v>
      </c>
      <c r="J25" s="401">
        <f>'YTD 2016'!G31</f>
        <v>25</v>
      </c>
      <c r="K25" s="401">
        <f>'YTD 2015'!G31</f>
        <v>20</v>
      </c>
      <c r="L25" s="404">
        <f t="shared" si="6"/>
        <v>10</v>
      </c>
      <c r="M25" s="407">
        <f t="shared" si="7"/>
        <v>15</v>
      </c>
      <c r="N25" s="380"/>
    </row>
    <row r="26" spans="1:14" x14ac:dyDescent="0.25">
      <c r="A26" s="375"/>
      <c r="B26" s="406" t="s">
        <v>68</v>
      </c>
      <c r="C26" s="401">
        <f>'4 weeks ago'!I31</f>
        <v>1</v>
      </c>
      <c r="D26" s="401">
        <f>'3 weeks ago'!I31</f>
        <v>0</v>
      </c>
      <c r="E26" s="402">
        <f>'Previous Week'!I31</f>
        <v>0</v>
      </c>
      <c r="F26" s="402">
        <f>'Last Week'!I31</f>
        <v>1</v>
      </c>
      <c r="G26" s="452">
        <f t="shared" si="5"/>
        <v>2</v>
      </c>
      <c r="H26" s="491">
        <f>'2016 Data'!I62</f>
        <v>2.0655737704918034</v>
      </c>
      <c r="I26" s="418">
        <f>'YTD 2017'!I31</f>
        <v>5</v>
      </c>
      <c r="J26" s="401">
        <f>'YTD 2016'!I31</f>
        <v>7</v>
      </c>
      <c r="K26" s="401">
        <f>'YTD 2015'!I31</f>
        <v>9</v>
      </c>
      <c r="L26" s="404">
        <f t="shared" si="6"/>
        <v>-2</v>
      </c>
      <c r="M26" s="407">
        <f t="shared" si="7"/>
        <v>-4</v>
      </c>
      <c r="N26" s="380"/>
    </row>
    <row r="27" spans="1:14" x14ac:dyDescent="0.25">
      <c r="A27" s="375"/>
      <c r="B27" s="406" t="s">
        <v>67</v>
      </c>
      <c r="C27" s="401">
        <f>'4 weeks ago'!H31</f>
        <v>3</v>
      </c>
      <c r="D27" s="401">
        <f>'3 weeks ago'!H31</f>
        <v>0</v>
      </c>
      <c r="E27" s="402">
        <f>'Previous Week'!H31</f>
        <v>0</v>
      </c>
      <c r="F27" s="402">
        <f>'Last Week'!H31</f>
        <v>0</v>
      </c>
      <c r="G27" s="452">
        <f t="shared" si="5"/>
        <v>3</v>
      </c>
      <c r="H27" s="491">
        <f>'2016 Data'!H62</f>
        <v>4.1311475409836067</v>
      </c>
      <c r="I27" s="418">
        <f>'YTD 2017'!H31</f>
        <v>12</v>
      </c>
      <c r="J27" s="401">
        <f>'YTD 2016'!H31</f>
        <v>13</v>
      </c>
      <c r="K27" s="401">
        <f>'YTD 2015'!H31</f>
        <v>15</v>
      </c>
      <c r="L27" s="404">
        <f>I27-J27</f>
        <v>-1</v>
      </c>
      <c r="M27" s="407">
        <f>I27-K27</f>
        <v>-3</v>
      </c>
      <c r="N27" s="380"/>
    </row>
    <row r="28" spans="1:14" x14ac:dyDescent="0.25">
      <c r="A28" s="375"/>
      <c r="B28" s="406" t="s">
        <v>34</v>
      </c>
      <c r="C28" s="401">
        <f>'4 weeks ago'!K31</f>
        <v>0</v>
      </c>
      <c r="D28" s="401">
        <f>'3 weeks ago'!K31</f>
        <v>0</v>
      </c>
      <c r="E28" s="402">
        <f>'Previous Week'!K31</f>
        <v>1</v>
      </c>
      <c r="F28" s="402">
        <f>'Last Week'!K31</f>
        <v>0</v>
      </c>
      <c r="G28" s="452">
        <f t="shared" si="5"/>
        <v>1</v>
      </c>
      <c r="H28" s="491">
        <f>'2016 Data'!K62</f>
        <v>0.45901639344262296</v>
      </c>
      <c r="I28" s="418">
        <f>'YTD 2017'!K31</f>
        <v>2</v>
      </c>
      <c r="J28" s="401">
        <f>'YTD 2016'!K31</f>
        <v>1</v>
      </c>
      <c r="K28" s="401">
        <f>'YTD 2015'!K31</f>
        <v>0</v>
      </c>
      <c r="L28" s="404">
        <f t="shared" si="6"/>
        <v>1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ago'!B31</f>
        <v>0</v>
      </c>
      <c r="D29" s="401">
        <f>'3 weeks ago'!B31</f>
        <v>0</v>
      </c>
      <c r="E29" s="402">
        <f>'Previous Week'!B31</f>
        <v>3</v>
      </c>
      <c r="F29" s="402">
        <f>'Last Week'!B31</f>
        <v>1</v>
      </c>
      <c r="G29" s="452">
        <f t="shared" si="5"/>
        <v>4</v>
      </c>
      <c r="H29" s="491">
        <f>'2016 Data'!B62</f>
        <v>3.1366120218579234</v>
      </c>
      <c r="I29" s="418">
        <f>'YTD 2017'!B31</f>
        <v>14</v>
      </c>
      <c r="J29" s="401">
        <f>'YTD 2016'!B31</f>
        <v>13</v>
      </c>
      <c r="K29" s="401">
        <f>'YTD 2015'!B31</f>
        <v>12</v>
      </c>
      <c r="L29" s="404">
        <f t="shared" si="6"/>
        <v>1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11</v>
      </c>
      <c r="D30" s="420">
        <f t="shared" si="8"/>
        <v>9</v>
      </c>
      <c r="E30" s="420">
        <f t="shared" si="8"/>
        <v>10</v>
      </c>
      <c r="F30" s="421">
        <f t="shared" si="8"/>
        <v>8</v>
      </c>
      <c r="G30" s="455">
        <f t="shared" si="8"/>
        <v>38</v>
      </c>
      <c r="H30" s="494">
        <f t="shared" si="8"/>
        <v>37.333333333333329</v>
      </c>
      <c r="I30" s="422">
        <f t="shared" si="8"/>
        <v>155</v>
      </c>
      <c r="J30" s="420">
        <f t="shared" si="8"/>
        <v>164</v>
      </c>
      <c r="K30" s="420">
        <f>SUM(K21:K29)</f>
        <v>131</v>
      </c>
      <c r="L30" s="412">
        <f>(I30-J30)/J30</f>
        <v>-5.4878048780487805E-2</v>
      </c>
      <c r="M30" s="413">
        <f>(I30-K30)/K30</f>
        <v>0.18320610687022901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14</v>
      </c>
      <c r="D31" s="409">
        <f t="shared" si="9"/>
        <v>10</v>
      </c>
      <c r="E31" s="409">
        <f t="shared" si="9"/>
        <v>12</v>
      </c>
      <c r="F31" s="410">
        <f t="shared" si="9"/>
        <v>9</v>
      </c>
      <c r="G31" s="453">
        <f t="shared" si="9"/>
        <v>45</v>
      </c>
      <c r="H31" s="492">
        <f t="shared" si="9"/>
        <v>42.306430122015115</v>
      </c>
      <c r="I31" s="411">
        <f t="shared" si="9"/>
        <v>174</v>
      </c>
      <c r="J31" s="409">
        <f t="shared" si="9"/>
        <v>190</v>
      </c>
      <c r="K31" s="409">
        <f t="shared" si="9"/>
        <v>147</v>
      </c>
      <c r="L31" s="412">
        <f>(I31-J31)/J31</f>
        <v>-8.4210526315789472E-2</v>
      </c>
      <c r="M31" s="413">
        <f>(I31-K31)/K31</f>
        <v>0.18367346938775511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ago'!S31</f>
        <v>1</v>
      </c>
      <c r="D41" s="441">
        <f>'3 weeks ago'!S31</f>
        <v>0</v>
      </c>
      <c r="E41" s="441">
        <f>'Previous Week'!S31</f>
        <v>1</v>
      </c>
      <c r="F41" s="442">
        <f>'Last Week'!S31</f>
        <v>1</v>
      </c>
      <c r="G41" s="452">
        <f t="shared" ref="G41:G42" si="10">SUM(C41:F41)</f>
        <v>3</v>
      </c>
      <c r="H41" s="501">
        <f>'2016 Data'!R62</f>
        <v>10.816438356164385</v>
      </c>
      <c r="I41" s="443">
        <f>'YTD 2017'!S31</f>
        <v>36</v>
      </c>
      <c r="J41" s="441">
        <f>'YTD 2016'!S31</f>
        <v>56</v>
      </c>
      <c r="K41" s="441">
        <f>'YTD 2015'!S31</f>
        <v>14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ago'!T31</f>
        <v>1</v>
      </c>
      <c r="D42" s="447">
        <f>'3 weeks ago'!T31</f>
        <v>5</v>
      </c>
      <c r="E42" s="446">
        <f>'Previous Week'!T31</f>
        <v>3</v>
      </c>
      <c r="F42" s="460">
        <f>'Last Week'!T31</f>
        <v>1</v>
      </c>
      <c r="G42" s="452">
        <f t="shared" si="10"/>
        <v>10</v>
      </c>
      <c r="H42" s="502">
        <f>'2016 Data'!S62</f>
        <v>20.865753424657534</v>
      </c>
      <c r="I42" s="448">
        <f>'YTD 2017'!T31</f>
        <v>57</v>
      </c>
      <c r="J42" s="482">
        <f>'YTD 2016'!T31</f>
        <v>117</v>
      </c>
      <c r="K42" s="446">
        <f>'YTD 2015'!T31</f>
        <v>53</v>
      </c>
      <c r="L42" s="412">
        <f>(I42-J42)/J42</f>
        <v>-0.51282051282051277</v>
      </c>
      <c r="M42" s="413">
        <f>(I42-K42)/K42</f>
        <v>7.5471698113207544E-2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8" priority="1" stopIfTrue="1" operator="greaterThan">
      <formula>0</formula>
    </cfRule>
  </conditionalFormatting>
  <conditionalFormatting sqref="L32:M32">
    <cfRule type="cellIs" dxfId="2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H13" sqref="H1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Data'!F63</f>
        <v>0.15300546448087432</v>
      </c>
      <c r="I11" s="403">
        <f>'YTD 2017'!F32</f>
        <v>0</v>
      </c>
      <c r="J11" s="401">
        <f>'YTD 2016'!F32</f>
        <v>1</v>
      </c>
      <c r="K11" s="401">
        <f>'YTD 2015'!F32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8" si="2">SUM(C12:F12)</f>
        <v>0</v>
      </c>
      <c r="H12" s="491">
        <f>'2016 Data'!M63</f>
        <v>0</v>
      </c>
      <c r="I12" s="403">
        <f>'YTD 2017'!M32</f>
        <v>0</v>
      </c>
      <c r="J12" s="401">
        <f>'YTD 2016'!M32</f>
        <v>0</v>
      </c>
      <c r="K12" s="401">
        <f>'YTD 2015'!M32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6">
        <f>'New Rapes'!E35</f>
        <v>0</v>
      </c>
      <c r="D13" s="556">
        <f>'New Rapes'!D35</f>
        <v>0</v>
      </c>
      <c r="E13" s="555">
        <f>'New Rapes'!C35</f>
        <v>0</v>
      </c>
      <c r="F13" s="555">
        <f>'New Rapes'!B35</f>
        <v>0</v>
      </c>
      <c r="G13" s="452">
        <f t="shared" ref="G13" si="3">SUM(C13:F13)</f>
        <v>0</v>
      </c>
      <c r="H13" s="576">
        <v>0.30601092896174864</v>
      </c>
      <c r="I13" s="557">
        <f>'New Rapes'!G35</f>
        <v>1</v>
      </c>
      <c r="J13" s="556">
        <f>'New Rapes'!H35</f>
        <v>2</v>
      </c>
      <c r="K13" s="556">
        <f>'New Rapes'!I35</f>
        <v>1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Data'!D63</f>
        <v>0.15300546448087432</v>
      </c>
      <c r="I14" s="403">
        <f>'YTD 2017'!D32</f>
        <v>0</v>
      </c>
      <c r="J14" s="401">
        <f>'YTD 2016'!D32</f>
        <v>2</v>
      </c>
      <c r="K14" s="401">
        <f>'YTD 2015'!D32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0</v>
      </c>
      <c r="F15" s="402">
        <f>'Last Week'!Q32</f>
        <v>0</v>
      </c>
      <c r="G15" s="452">
        <f t="shared" si="2"/>
        <v>0</v>
      </c>
      <c r="H15" s="491">
        <f>'2016 Data'!Q63</f>
        <v>0.53551912568306015</v>
      </c>
      <c r="I15" s="403">
        <f>'YTD 2017'!Q32</f>
        <v>0</v>
      </c>
      <c r="J15" s="401">
        <f>'YTD 2016'!Q32</f>
        <v>3</v>
      </c>
      <c r="K15" s="401">
        <f>'YTD 2015'!Q32</f>
        <v>1</v>
      </c>
      <c r="L15" s="404">
        <f t="shared" si="0"/>
        <v>-3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ago'!O32</f>
        <v>0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0</v>
      </c>
      <c r="H16" s="491">
        <f>'2016 Data'!O63</f>
        <v>7.650273224043716E-2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ago'!E32</f>
        <v>0</v>
      </c>
      <c r="D17" s="401">
        <f>'3 weeks ago'!E32</f>
        <v>0</v>
      </c>
      <c r="E17" s="402">
        <f>'Previous Week'!E32</f>
        <v>0</v>
      </c>
      <c r="F17" s="402">
        <f>'Last Week'!E32</f>
        <v>0</v>
      </c>
      <c r="G17" s="452">
        <f t="shared" si="2"/>
        <v>0</v>
      </c>
      <c r="H17" s="491">
        <f>'2016 Data'!E63</f>
        <v>0.30601092896174864</v>
      </c>
      <c r="I17" s="403">
        <f>'YTD 2017'!E32</f>
        <v>1</v>
      </c>
      <c r="J17" s="401">
        <f>'YTD 2016'!E32</f>
        <v>1</v>
      </c>
      <c r="K17" s="401">
        <f>'YTD 2015'!E32</f>
        <v>4</v>
      </c>
      <c r="L17" s="404">
        <f t="shared" si="0"/>
        <v>0</v>
      </c>
      <c r="M17" s="407">
        <f t="shared" si="1"/>
        <v>-3</v>
      </c>
      <c r="N17" s="380"/>
    </row>
    <row r="18" spans="1:14" x14ac:dyDescent="0.25">
      <c r="A18" s="375"/>
      <c r="B18" s="406" t="s">
        <v>41</v>
      </c>
      <c r="C18" s="401">
        <f>'4 weeks ago'!J32</f>
        <v>1</v>
      </c>
      <c r="D18" s="401">
        <f>'3 weeks ago'!J32</f>
        <v>0</v>
      </c>
      <c r="E18" s="402">
        <f>'Previous Week'!J32</f>
        <v>0</v>
      </c>
      <c r="F18" s="402">
        <f>'Last Week'!J32</f>
        <v>0</v>
      </c>
      <c r="G18" s="452">
        <f t="shared" si="2"/>
        <v>1</v>
      </c>
      <c r="H18" s="491">
        <f>'2016 Data'!J63</f>
        <v>0.53551912568306015</v>
      </c>
      <c r="I18" s="403">
        <f>'YTD 2017'!J32</f>
        <v>4</v>
      </c>
      <c r="J18" s="401">
        <f>'YTD 2016'!J32</f>
        <v>1</v>
      </c>
      <c r="K18" s="401">
        <f>'YTD 2015'!J32</f>
        <v>2</v>
      </c>
      <c r="L18" s="404">
        <f t="shared" si="0"/>
        <v>3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2.0655737704918034</v>
      </c>
      <c r="I19" s="411">
        <f t="shared" si="4"/>
        <v>6</v>
      </c>
      <c r="J19" s="409">
        <f t="shared" si="4"/>
        <v>10</v>
      </c>
      <c r="K19" s="409">
        <f t="shared" si="4"/>
        <v>9</v>
      </c>
      <c r="L19" s="412">
        <f>(I19-J19)/J19</f>
        <v>-0.4</v>
      </c>
      <c r="M19" s="413">
        <f>(I19-K19)/K19</f>
        <v>-0.33333333333333331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0</v>
      </c>
      <c r="F21" s="402">
        <f>'Last Week'!C32</f>
        <v>0</v>
      </c>
      <c r="G21" s="452">
        <f t="shared" ref="G21:G29" si="5">SUM(C21:F21)</f>
        <v>0</v>
      </c>
      <c r="H21" s="491">
        <f>'2016 Data'!C63</f>
        <v>7.650273224043716E-2</v>
      </c>
      <c r="I21" s="416">
        <f>'YTD 2017'!C32</f>
        <v>0</v>
      </c>
      <c r="J21" s="401">
        <f>'YTD 2016'!C32</f>
        <v>1</v>
      </c>
      <c r="K21" s="401">
        <f>'YTD 2015'!C32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ago'!N32</f>
        <v>0</v>
      </c>
      <c r="D22" s="401">
        <f>'3 weeks ago'!N32</f>
        <v>0</v>
      </c>
      <c r="E22" s="402">
        <f>'Previous Week'!N32</f>
        <v>1</v>
      </c>
      <c r="F22" s="402">
        <f>'Last Week'!N32</f>
        <v>0</v>
      </c>
      <c r="G22" s="452">
        <f t="shared" si="5"/>
        <v>1</v>
      </c>
      <c r="H22" s="491">
        <f>'2016 Data'!N63</f>
        <v>2.6010928961748636</v>
      </c>
      <c r="I22" s="418">
        <f>'YTD 2017'!N32</f>
        <v>4</v>
      </c>
      <c r="J22" s="401">
        <f>'YTD 2016'!N32</f>
        <v>14</v>
      </c>
      <c r="K22" s="401">
        <f>'YTD 2015'!N32</f>
        <v>10</v>
      </c>
      <c r="L22" s="404">
        <f t="shared" si="6"/>
        <v>-10</v>
      </c>
      <c r="M22" s="407">
        <f t="shared" ref="M22:M29" si="7">I22-K22</f>
        <v>-6</v>
      </c>
      <c r="N22" s="380"/>
    </row>
    <row r="23" spans="1:14" x14ac:dyDescent="0.25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Data'!L63</f>
        <v>0.15300546448087432</v>
      </c>
      <c r="I23" s="418">
        <f>'YTD 2017'!L32</f>
        <v>1</v>
      </c>
      <c r="J23" s="401">
        <f>'YTD 2016'!L32</f>
        <v>0</v>
      </c>
      <c r="K23" s="401">
        <f>'YTD 2015'!L32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0</v>
      </c>
      <c r="F24" s="402">
        <f>'Last Week'!P32</f>
        <v>0</v>
      </c>
      <c r="G24" s="403">
        <f t="shared" si="5"/>
        <v>0</v>
      </c>
      <c r="H24" s="491">
        <f>'2016 Data'!P63</f>
        <v>0.22950819672131148</v>
      </c>
      <c r="I24" s="418">
        <f>'YTD 2017'!P32</f>
        <v>0</v>
      </c>
      <c r="J24" s="401">
        <f>'YTD 2016'!P32</f>
        <v>1</v>
      </c>
      <c r="K24" s="401">
        <f>'YTD 2015'!P32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ago'!G32</f>
        <v>0</v>
      </c>
      <c r="D25" s="401">
        <f>'3 weeks ago'!G32</f>
        <v>0</v>
      </c>
      <c r="E25" s="402">
        <f>'Previous Week'!G32</f>
        <v>0</v>
      </c>
      <c r="F25" s="402">
        <f>'Last Week'!G32</f>
        <v>0</v>
      </c>
      <c r="G25" s="403">
        <f t="shared" si="5"/>
        <v>0</v>
      </c>
      <c r="H25" s="491">
        <f>'2016 Data'!G63</f>
        <v>1.9125683060109291</v>
      </c>
      <c r="I25" s="418">
        <f>'YTD 2017'!G32</f>
        <v>8</v>
      </c>
      <c r="J25" s="401">
        <f>'YTD 2016'!G32</f>
        <v>7</v>
      </c>
      <c r="K25" s="401">
        <f>'YTD 2015'!G32</f>
        <v>7</v>
      </c>
      <c r="L25" s="404">
        <f t="shared" si="6"/>
        <v>1</v>
      </c>
      <c r="M25" s="407">
        <f t="shared" si="7"/>
        <v>1</v>
      </c>
      <c r="N25" s="380"/>
    </row>
    <row r="26" spans="1:14" x14ac:dyDescent="0.25">
      <c r="A26" s="375"/>
      <c r="B26" s="406" t="s">
        <v>68</v>
      </c>
      <c r="C26" s="401">
        <f>'4 weeks ago'!I32</f>
        <v>0</v>
      </c>
      <c r="D26" s="401">
        <f>'3 weeks ago'!I32</f>
        <v>0</v>
      </c>
      <c r="E26" s="402">
        <f>'Previous Week'!I32</f>
        <v>0</v>
      </c>
      <c r="F26" s="402">
        <f>'Last Week'!I32</f>
        <v>0</v>
      </c>
      <c r="G26" s="452">
        <f t="shared" si="5"/>
        <v>0</v>
      </c>
      <c r="H26" s="491">
        <f>'2016 Data'!I63</f>
        <v>0.68852459016393441</v>
      </c>
      <c r="I26" s="418">
        <f>'YTD 2017'!I32</f>
        <v>2</v>
      </c>
      <c r="J26" s="401">
        <f>'YTD 2016'!I32</f>
        <v>2</v>
      </c>
      <c r="K26" s="401">
        <f>'YTD 2015'!I32</f>
        <v>4</v>
      </c>
      <c r="L26" s="404">
        <f t="shared" si="6"/>
        <v>0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ago'!H32</f>
        <v>0</v>
      </c>
      <c r="D27" s="401">
        <f>'3 weeks ago'!H32</f>
        <v>0</v>
      </c>
      <c r="E27" s="402">
        <f>'Previous Week'!H32</f>
        <v>0</v>
      </c>
      <c r="F27" s="402">
        <f>'Last Week'!H32</f>
        <v>2</v>
      </c>
      <c r="G27" s="452">
        <f t="shared" si="5"/>
        <v>2</v>
      </c>
      <c r="H27" s="491">
        <f>'2016 Data'!H63</f>
        <v>3.1366120218579234</v>
      </c>
      <c r="I27" s="418">
        <f>'YTD 2017'!H32</f>
        <v>10</v>
      </c>
      <c r="J27" s="401">
        <f>'YTD 2016'!H32</f>
        <v>13</v>
      </c>
      <c r="K27" s="401">
        <f>'YTD 2015'!H32</f>
        <v>5</v>
      </c>
      <c r="L27" s="404">
        <f>I27-J27</f>
        <v>-3</v>
      </c>
      <c r="M27" s="407">
        <f>I27-K27</f>
        <v>5</v>
      </c>
      <c r="N27" s="380"/>
    </row>
    <row r="28" spans="1:14" x14ac:dyDescent="0.25">
      <c r="A28" s="375"/>
      <c r="B28" s="406" t="s">
        <v>34</v>
      </c>
      <c r="C28" s="401">
        <f>'4 weeks ago'!K32</f>
        <v>0</v>
      </c>
      <c r="D28" s="401">
        <f>'3 weeks ago'!K32</f>
        <v>0</v>
      </c>
      <c r="E28" s="402">
        <f>'Previous Week'!K32</f>
        <v>0</v>
      </c>
      <c r="F28" s="402">
        <f>'Last Week'!K32</f>
        <v>0</v>
      </c>
      <c r="G28" s="452">
        <f t="shared" si="5"/>
        <v>0</v>
      </c>
      <c r="H28" s="491">
        <f>'2016 Data'!K63</f>
        <v>0.15300546448087432</v>
      </c>
      <c r="I28" s="418">
        <f>'YTD 2017'!K32</f>
        <v>2</v>
      </c>
      <c r="J28" s="401">
        <f>'YTD 2016'!K32</f>
        <v>1</v>
      </c>
      <c r="K28" s="401">
        <f>'YTD 2015'!K32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ago'!B32</f>
        <v>1</v>
      </c>
      <c r="D29" s="401">
        <f>'3 weeks ago'!B32</f>
        <v>0</v>
      </c>
      <c r="E29" s="402">
        <f>'Previous Week'!B32</f>
        <v>1</v>
      </c>
      <c r="F29" s="402">
        <f>'Last Week'!B32</f>
        <v>0</v>
      </c>
      <c r="G29" s="452">
        <f t="shared" si="5"/>
        <v>2</v>
      </c>
      <c r="H29" s="491">
        <f>'2016 Data'!B63</f>
        <v>1.3770491803278688</v>
      </c>
      <c r="I29" s="418">
        <f>'YTD 2017'!B32</f>
        <v>5</v>
      </c>
      <c r="J29" s="401">
        <f>'YTD 2016'!B32</f>
        <v>9</v>
      </c>
      <c r="K29" s="401">
        <f>'YTD 2015'!B32</f>
        <v>4</v>
      </c>
      <c r="L29" s="404">
        <f t="shared" si="6"/>
        <v>-4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1</v>
      </c>
      <c r="D30" s="420">
        <f t="shared" si="8"/>
        <v>0</v>
      </c>
      <c r="E30" s="420">
        <f t="shared" si="8"/>
        <v>2</v>
      </c>
      <c r="F30" s="421">
        <f t="shared" si="8"/>
        <v>2</v>
      </c>
      <c r="G30" s="455">
        <f t="shared" si="8"/>
        <v>5</v>
      </c>
      <c r="H30" s="494">
        <f t="shared" si="8"/>
        <v>10.327868852459018</v>
      </c>
      <c r="I30" s="422">
        <f t="shared" si="8"/>
        <v>32</v>
      </c>
      <c r="J30" s="420">
        <f t="shared" si="8"/>
        <v>48</v>
      </c>
      <c r="K30" s="420">
        <f>SUM(K21:K29)</f>
        <v>32</v>
      </c>
      <c r="L30" s="412">
        <f>(I30-J30)/J30</f>
        <v>-0.33333333333333331</v>
      </c>
      <c r="M30" s="413">
        <f>(I30-K30)/K30</f>
        <v>0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0</v>
      </c>
      <c r="E31" s="409">
        <f t="shared" si="9"/>
        <v>2</v>
      </c>
      <c r="F31" s="410">
        <f t="shared" si="9"/>
        <v>2</v>
      </c>
      <c r="G31" s="453">
        <f t="shared" si="9"/>
        <v>6</v>
      </c>
      <c r="H31" s="492">
        <f t="shared" si="9"/>
        <v>12.393442622950822</v>
      </c>
      <c r="I31" s="411">
        <f t="shared" si="9"/>
        <v>38</v>
      </c>
      <c r="J31" s="409">
        <f t="shared" si="9"/>
        <v>58</v>
      </c>
      <c r="K31" s="409">
        <f t="shared" si="9"/>
        <v>41</v>
      </c>
      <c r="L31" s="412">
        <f>(I31-J31)/J31</f>
        <v>-0.34482758620689657</v>
      </c>
      <c r="M31" s="413">
        <f>(I31-K31)/K31</f>
        <v>-7.3170731707317069E-2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ago'!S32</f>
        <v>0</v>
      </c>
      <c r="D41" s="441">
        <f>'3 weeks ago'!S32</f>
        <v>2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2</v>
      </c>
      <c r="H41" s="501">
        <f>'2016 Data'!R63</f>
        <v>0</v>
      </c>
      <c r="I41" s="443">
        <f>'YTD 2017'!S32</f>
        <v>1</v>
      </c>
      <c r="J41" s="441">
        <f>'YTD 2016'!S32</f>
        <v>0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ago'!T32</f>
        <v>3</v>
      </c>
      <c r="D42" s="447">
        <f>'3 weeks ago'!T32</f>
        <v>0</v>
      </c>
      <c r="E42" s="446">
        <f>'Previous Week'!T32</f>
        <v>0</v>
      </c>
      <c r="F42" s="460">
        <f>'Last Week'!T32</f>
        <v>2</v>
      </c>
      <c r="G42" s="452">
        <f t="shared" si="10"/>
        <v>5</v>
      </c>
      <c r="H42" s="502">
        <f>'2016 Data'!S63</f>
        <v>6.2904109589041095</v>
      </c>
      <c r="I42" s="448">
        <f>'YTD 2017'!T32</f>
        <v>35</v>
      </c>
      <c r="J42" s="482">
        <f>'YTD 2016'!T32</f>
        <v>24</v>
      </c>
      <c r="K42" s="446">
        <f>'YTD 2015'!T32</f>
        <v>37</v>
      </c>
      <c r="L42" s="412">
        <f>(I42-J42)/J42</f>
        <v>0.45833333333333331</v>
      </c>
      <c r="M42" s="413">
        <f>(I42-K42)/K42</f>
        <v>-5.4054054054054057E-2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6" priority="1" stopIfTrue="1" operator="greaterThan">
      <formula>0</formula>
    </cfRule>
  </conditionalFormatting>
  <conditionalFormatting sqref="L32:M32">
    <cfRule type="cellIs" dxfId="2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Data'!F64</f>
        <v>7.650273224043716E-2</v>
      </c>
      <c r="I11" s="403">
        <f>'YTD 2017'!F33</f>
        <v>1</v>
      </c>
      <c r="J11" s="401">
        <f>'YTD 2016'!F33</f>
        <v>0</v>
      </c>
      <c r="K11" s="401">
        <f>'YTD 2015'!F33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8" si="2">SUM(C12:F12)</f>
        <v>0</v>
      </c>
      <c r="H12" s="491">
        <f>'2016 Data'!M64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6">
        <f>'New Rapes'!E36</f>
        <v>0</v>
      </c>
      <c r="D13" s="556">
        <f>'New Rapes'!D36</f>
        <v>0</v>
      </c>
      <c r="E13" s="555">
        <f>'New Rapes'!C36</f>
        <v>0</v>
      </c>
      <c r="F13" s="555">
        <f>'New Rapes'!B36</f>
        <v>0</v>
      </c>
      <c r="G13" s="452">
        <f t="shared" ref="G13" si="3">SUM(C13:F13)</f>
        <v>0</v>
      </c>
      <c r="H13" s="576">
        <v>0</v>
      </c>
      <c r="I13" s="557">
        <f>'New Rapes'!G36</f>
        <v>1</v>
      </c>
      <c r="J13" s="556">
        <f>'New Rapes'!H36</f>
        <v>0</v>
      </c>
      <c r="K13" s="556">
        <f>'New Rapes'!I36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Data'!D64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ago'!Q33</f>
        <v>0</v>
      </c>
      <c r="D15" s="401">
        <f>'3 weeks ago'!Q33</f>
        <v>0</v>
      </c>
      <c r="E15" s="402">
        <f>'Previous Week'!Q33</f>
        <v>0</v>
      </c>
      <c r="F15" s="402">
        <f>'Last Week'!Q33</f>
        <v>0</v>
      </c>
      <c r="G15" s="452">
        <f t="shared" si="2"/>
        <v>0</v>
      </c>
      <c r="H15" s="491">
        <f>'2016 Data'!Q64</f>
        <v>0.45901639344262296</v>
      </c>
      <c r="I15" s="403">
        <f>'YTD 2017'!Q33</f>
        <v>0</v>
      </c>
      <c r="J15" s="401">
        <f>'YTD 2016'!Q33</f>
        <v>2</v>
      </c>
      <c r="K15" s="401">
        <f>'YTD 2015'!Q33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Data'!O64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ago'!E33</f>
        <v>0</v>
      </c>
      <c r="D17" s="401">
        <f>'3 weeks ago'!E33</f>
        <v>1</v>
      </c>
      <c r="E17" s="402">
        <f>'Previous Week'!E33</f>
        <v>1</v>
      </c>
      <c r="F17" s="402">
        <f>'Last Week'!E33</f>
        <v>0</v>
      </c>
      <c r="G17" s="452">
        <f t="shared" si="2"/>
        <v>2</v>
      </c>
      <c r="H17" s="491">
        <f>'2016 Data'!E64</f>
        <v>0.99453551912568305</v>
      </c>
      <c r="I17" s="403">
        <f>'YTD 2017'!E33</f>
        <v>6</v>
      </c>
      <c r="J17" s="401">
        <f>'YTD 2016'!E33</f>
        <v>7</v>
      </c>
      <c r="K17" s="401">
        <f>'YTD 2015'!E33</f>
        <v>1</v>
      </c>
      <c r="L17" s="404">
        <f t="shared" si="0"/>
        <v>-1</v>
      </c>
      <c r="M17" s="407">
        <f t="shared" si="1"/>
        <v>5</v>
      </c>
      <c r="N17" s="380"/>
    </row>
    <row r="18" spans="1:14" x14ac:dyDescent="0.25">
      <c r="A18" s="375"/>
      <c r="B18" s="406" t="s">
        <v>41</v>
      </c>
      <c r="C18" s="401">
        <f>'4 weeks ago'!J33</f>
        <v>0</v>
      </c>
      <c r="D18" s="401">
        <f>'3 weeks ago'!J33</f>
        <v>0</v>
      </c>
      <c r="E18" s="402">
        <f>'Previous Week'!J33</f>
        <v>1</v>
      </c>
      <c r="F18" s="402">
        <f>'Last Week'!J33</f>
        <v>1</v>
      </c>
      <c r="G18" s="452">
        <f t="shared" si="2"/>
        <v>2</v>
      </c>
      <c r="H18" s="491">
        <f>'2016 Data'!J64</f>
        <v>0.61202185792349728</v>
      </c>
      <c r="I18" s="403">
        <f>'YTD 2017'!J33</f>
        <v>3</v>
      </c>
      <c r="J18" s="401">
        <f>'YTD 2016'!J33</f>
        <v>3</v>
      </c>
      <c r="K18" s="401">
        <f>'YTD 2015'!J33</f>
        <v>0</v>
      </c>
      <c r="L18" s="404">
        <f t="shared" si="0"/>
        <v>0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2</v>
      </c>
      <c r="F19" s="410">
        <f t="shared" si="4"/>
        <v>1</v>
      </c>
      <c r="G19" s="453">
        <f t="shared" si="4"/>
        <v>4</v>
      </c>
      <c r="H19" s="492">
        <f t="shared" si="4"/>
        <v>2.2950819672131146</v>
      </c>
      <c r="I19" s="411">
        <f t="shared" si="4"/>
        <v>13</v>
      </c>
      <c r="J19" s="409">
        <f t="shared" si="4"/>
        <v>13</v>
      </c>
      <c r="K19" s="409">
        <f t="shared" si="4"/>
        <v>4</v>
      </c>
      <c r="L19" s="412">
        <f>(I19-J19)/J19</f>
        <v>0</v>
      </c>
      <c r="M19" s="413">
        <f>(I19-K19)/K19</f>
        <v>2.25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Data'!C64</f>
        <v>0.22950819672131148</v>
      </c>
      <c r="I21" s="416">
        <f>'YTD 2017'!C33</f>
        <v>0</v>
      </c>
      <c r="J21" s="401">
        <f>'YTD 2016'!C33</f>
        <v>0</v>
      </c>
      <c r="K21" s="401">
        <f>'YTD 2015'!C33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ago'!N33</f>
        <v>1</v>
      </c>
      <c r="D22" s="401">
        <f>'3 weeks ago'!N33</f>
        <v>0</v>
      </c>
      <c r="E22" s="402">
        <f>'Previous Week'!N33</f>
        <v>0</v>
      </c>
      <c r="F22" s="402">
        <f>'Last Week'!N33</f>
        <v>0</v>
      </c>
      <c r="G22" s="452">
        <f t="shared" si="5"/>
        <v>1</v>
      </c>
      <c r="H22" s="491">
        <f>'2016 Data'!N64</f>
        <v>3.5191256830601092</v>
      </c>
      <c r="I22" s="418">
        <f>'YTD 2017'!N33</f>
        <v>10</v>
      </c>
      <c r="J22" s="401">
        <f>'YTD 2016'!N33</f>
        <v>7</v>
      </c>
      <c r="K22" s="401">
        <f>'YTD 2015'!N33</f>
        <v>10</v>
      </c>
      <c r="L22" s="404">
        <f t="shared" si="6"/>
        <v>3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ago'!L33</f>
        <v>0</v>
      </c>
      <c r="D23" s="401">
        <f>'3 weeks ago'!L33</f>
        <v>0</v>
      </c>
      <c r="E23" s="402">
        <f>'Previous Week'!L33</f>
        <v>0</v>
      </c>
      <c r="F23" s="402">
        <f>'Last Week'!L33</f>
        <v>0</v>
      </c>
      <c r="G23" s="418">
        <f t="shared" si="5"/>
        <v>0</v>
      </c>
      <c r="H23" s="491">
        <f>'2016 Data'!L64</f>
        <v>0.15300546448087432</v>
      </c>
      <c r="I23" s="418">
        <f>'YTD 2017'!L33</f>
        <v>1</v>
      </c>
      <c r="J23" s="401">
        <f>'YTD 2016'!L33</f>
        <v>0</v>
      </c>
      <c r="K23" s="401">
        <f>'YTD 2015'!L33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ago'!P33</f>
        <v>0</v>
      </c>
      <c r="D24" s="401">
        <f>'3 weeks ago'!P33</f>
        <v>0</v>
      </c>
      <c r="E24" s="402">
        <f>'Previous Week'!P33</f>
        <v>0</v>
      </c>
      <c r="F24" s="402">
        <f>'Last Week'!P33</f>
        <v>1</v>
      </c>
      <c r="G24" s="403">
        <f t="shared" si="5"/>
        <v>1</v>
      </c>
      <c r="H24" s="491">
        <f>'2016 Data'!P64</f>
        <v>0.91803278688524592</v>
      </c>
      <c r="I24" s="418">
        <f>'YTD 2017'!P33</f>
        <v>9</v>
      </c>
      <c r="J24" s="401">
        <f>'YTD 2016'!P33</f>
        <v>4</v>
      </c>
      <c r="K24" s="401">
        <f>'YTD 2015'!P33</f>
        <v>1</v>
      </c>
      <c r="L24" s="404">
        <f t="shared" si="6"/>
        <v>5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ago'!G33</f>
        <v>0</v>
      </c>
      <c r="D25" s="401">
        <f>'3 weeks ago'!G33</f>
        <v>0</v>
      </c>
      <c r="E25" s="402">
        <f>'Previous Week'!G33</f>
        <v>1</v>
      </c>
      <c r="F25" s="402">
        <f>'Last Week'!G33</f>
        <v>1</v>
      </c>
      <c r="G25" s="403">
        <f t="shared" si="5"/>
        <v>2</v>
      </c>
      <c r="H25" s="491">
        <f>'2016 Data'!G64</f>
        <v>2.6775956284153004</v>
      </c>
      <c r="I25" s="418">
        <f>'YTD 2017'!G33</f>
        <v>7</v>
      </c>
      <c r="J25" s="401">
        <f>'YTD 2016'!G33</f>
        <v>7</v>
      </c>
      <c r="K25" s="401">
        <f>'YTD 2015'!G33</f>
        <v>4</v>
      </c>
      <c r="L25" s="404">
        <f t="shared" si="6"/>
        <v>0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ago'!I33</f>
        <v>1</v>
      </c>
      <c r="D26" s="401">
        <f>'3 weeks ago'!I33</f>
        <v>0</v>
      </c>
      <c r="E26" s="402">
        <f>'Previous Week'!I33</f>
        <v>0</v>
      </c>
      <c r="F26" s="402">
        <f>'Last Week'!I33</f>
        <v>1</v>
      </c>
      <c r="G26" s="452">
        <f t="shared" si="5"/>
        <v>2</v>
      </c>
      <c r="H26" s="491">
        <f>'2016 Data'!I64</f>
        <v>1.5300546448087431</v>
      </c>
      <c r="I26" s="418">
        <f>'YTD 2017'!I33</f>
        <v>3</v>
      </c>
      <c r="J26" s="401">
        <f>'YTD 2016'!I33</f>
        <v>6</v>
      </c>
      <c r="K26" s="401">
        <f>'YTD 2015'!I33</f>
        <v>5</v>
      </c>
      <c r="L26" s="404">
        <f t="shared" si="6"/>
        <v>-3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ago'!H33</f>
        <v>0</v>
      </c>
      <c r="D27" s="401">
        <f>'3 weeks ago'!H33</f>
        <v>1</v>
      </c>
      <c r="E27" s="402">
        <f>'Previous Week'!H33</f>
        <v>0</v>
      </c>
      <c r="F27" s="402">
        <f>'Last Week'!H33</f>
        <v>0</v>
      </c>
      <c r="G27" s="452">
        <f t="shared" si="5"/>
        <v>1</v>
      </c>
      <c r="H27" s="491">
        <f>'2016 Data'!H64</f>
        <v>2.5245901639344264</v>
      </c>
      <c r="I27" s="418">
        <f>'YTD 2017'!H33</f>
        <v>6</v>
      </c>
      <c r="J27" s="401">
        <f>'YTD 2016'!H33</f>
        <v>11</v>
      </c>
      <c r="K27" s="401">
        <f>'YTD 2015'!H33</f>
        <v>8</v>
      </c>
      <c r="L27" s="404">
        <f>I27-J27</f>
        <v>-5</v>
      </c>
      <c r="M27" s="407">
        <f>I27-K27</f>
        <v>-2</v>
      </c>
      <c r="N27" s="380"/>
    </row>
    <row r="28" spans="1:14" x14ac:dyDescent="0.25">
      <c r="A28" s="375"/>
      <c r="B28" s="406" t="s">
        <v>34</v>
      </c>
      <c r="C28" s="401">
        <f>'4 weeks ago'!K33</f>
        <v>0</v>
      </c>
      <c r="D28" s="401">
        <f>'3 weeks ago'!K33</f>
        <v>0</v>
      </c>
      <c r="E28" s="402">
        <f>'Previous Week'!K33</f>
        <v>0</v>
      </c>
      <c r="F28" s="402">
        <f>'Last Week'!K33</f>
        <v>1</v>
      </c>
      <c r="G28" s="452">
        <f t="shared" si="5"/>
        <v>1</v>
      </c>
      <c r="H28" s="491">
        <f>'2016 Data'!K64</f>
        <v>0.30601092896174864</v>
      </c>
      <c r="I28" s="418">
        <f>'YTD 2017'!K33</f>
        <v>3</v>
      </c>
      <c r="J28" s="401">
        <f>'YTD 2016'!K33</f>
        <v>1</v>
      </c>
      <c r="K28" s="401">
        <f>'YTD 2015'!K33</f>
        <v>0</v>
      </c>
      <c r="L28" s="404">
        <f t="shared" si="6"/>
        <v>2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ago'!B33</f>
        <v>2</v>
      </c>
      <c r="D29" s="401">
        <f>'3 weeks ago'!B33</f>
        <v>0</v>
      </c>
      <c r="E29" s="402">
        <f>'Previous Week'!B33</f>
        <v>0</v>
      </c>
      <c r="F29" s="402">
        <f>'Last Week'!B33</f>
        <v>0</v>
      </c>
      <c r="G29" s="452">
        <f t="shared" si="5"/>
        <v>2</v>
      </c>
      <c r="H29" s="491">
        <f>'2016 Data'!B64</f>
        <v>1.7595628415300546</v>
      </c>
      <c r="I29" s="418">
        <f>'YTD 2017'!B33</f>
        <v>7</v>
      </c>
      <c r="J29" s="401">
        <f>'YTD 2016'!B33</f>
        <v>6</v>
      </c>
      <c r="K29" s="401">
        <f>'YTD 2015'!B33</f>
        <v>4</v>
      </c>
      <c r="L29" s="404">
        <f t="shared" si="6"/>
        <v>1</v>
      </c>
      <c r="M29" s="407">
        <f t="shared" si="7"/>
        <v>3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4</v>
      </c>
      <c r="D30" s="420">
        <f t="shared" si="8"/>
        <v>1</v>
      </c>
      <c r="E30" s="420">
        <f t="shared" si="8"/>
        <v>1</v>
      </c>
      <c r="F30" s="421">
        <f t="shared" si="8"/>
        <v>4</v>
      </c>
      <c r="G30" s="455">
        <f t="shared" si="8"/>
        <v>10</v>
      </c>
      <c r="H30" s="494">
        <f t="shared" si="8"/>
        <v>13.617486338797816</v>
      </c>
      <c r="I30" s="422">
        <f t="shared" si="8"/>
        <v>46</v>
      </c>
      <c r="J30" s="420">
        <f t="shared" si="8"/>
        <v>42</v>
      </c>
      <c r="K30" s="420">
        <f>SUM(K21:K29)</f>
        <v>33</v>
      </c>
      <c r="L30" s="412">
        <f>(I30-J30)/J30</f>
        <v>9.5238095238095233E-2</v>
      </c>
      <c r="M30" s="413">
        <f>(I30-K30)/K30</f>
        <v>0.39393939393939392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2</v>
      </c>
      <c r="E31" s="409">
        <f t="shared" si="9"/>
        <v>3</v>
      </c>
      <c r="F31" s="410">
        <f t="shared" si="9"/>
        <v>5</v>
      </c>
      <c r="G31" s="453">
        <f t="shared" si="9"/>
        <v>14</v>
      </c>
      <c r="H31" s="492">
        <f t="shared" si="9"/>
        <v>15.912568306010931</v>
      </c>
      <c r="I31" s="411">
        <f t="shared" si="9"/>
        <v>59</v>
      </c>
      <c r="J31" s="409">
        <f t="shared" si="9"/>
        <v>55</v>
      </c>
      <c r="K31" s="409">
        <f t="shared" si="9"/>
        <v>37</v>
      </c>
      <c r="L31" s="412">
        <f>(I31-J31)/J31</f>
        <v>7.2727272727272724E-2</v>
      </c>
      <c r="M31" s="413">
        <f>(I31-K31)/K31</f>
        <v>0.59459459459459463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ago'!S33</f>
        <v>0</v>
      </c>
      <c r="D41" s="441">
        <f>'3 weeks ago'!S33</f>
        <v>0</v>
      </c>
      <c r="E41" s="441">
        <f>'Previous Week'!S33</f>
        <v>0</v>
      </c>
      <c r="F41" s="442">
        <f>'Last Week'!S33</f>
        <v>0</v>
      </c>
      <c r="G41" s="452">
        <f t="shared" ref="G41:G42" si="10">SUM(C41:F41)</f>
        <v>0</v>
      </c>
      <c r="H41" s="501">
        <f>'2016 Data'!R64</f>
        <v>0.76712328767123283</v>
      </c>
      <c r="I41" s="443">
        <f>'YTD 2017'!S33</f>
        <v>15</v>
      </c>
      <c r="J41" s="441">
        <f>'YTD 2016'!S33</f>
        <v>6</v>
      </c>
      <c r="K41" s="441">
        <f>'YTD 2015'!S33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ago'!T33</f>
        <v>0</v>
      </c>
      <c r="D42" s="447">
        <f>'3 weeks ago'!T33</f>
        <v>6</v>
      </c>
      <c r="E42" s="446">
        <f>'Previous Week'!T33</f>
        <v>3</v>
      </c>
      <c r="F42" s="460">
        <f>'Last Week'!T33</f>
        <v>2</v>
      </c>
      <c r="G42" s="452">
        <f t="shared" si="10"/>
        <v>11</v>
      </c>
      <c r="H42" s="502">
        <f>'2016 Data'!S64</f>
        <v>15.035616438356165</v>
      </c>
      <c r="I42" s="448">
        <f>'YTD 2017'!T33</f>
        <v>46</v>
      </c>
      <c r="J42" s="482">
        <f>'YTD 2016'!T33</f>
        <v>76</v>
      </c>
      <c r="K42" s="446">
        <f>'YTD 2015'!T33</f>
        <v>44</v>
      </c>
      <c r="L42" s="412">
        <f>(I42-J42)/J42</f>
        <v>-0.39473684210526316</v>
      </c>
      <c r="M42" s="413">
        <f>(I42-K42)/K42</f>
        <v>4.5454545454545456E-2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4" priority="1" stopIfTrue="1" operator="greaterThan">
      <formula>0</formula>
    </cfRule>
  </conditionalFormatting>
  <conditionalFormatting sqref="L32:M32">
    <cfRule type="cellIs" dxfId="2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V198"/>
  <sheetViews>
    <sheetView topLeftCell="A2" zoomScaleNormal="100" workbookViewId="0">
      <selection activeCell="T40" sqref="T40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ht="15" x14ac:dyDescent="0.25">
      <c r="A3" s="463">
        <v>11</v>
      </c>
      <c r="B3" s="626">
        <v>1</v>
      </c>
      <c r="C3" s="626">
        <v>1</v>
      </c>
      <c r="D3" s="626">
        <v>0</v>
      </c>
      <c r="E3" s="626">
        <v>0</v>
      </c>
      <c r="F3" s="626"/>
      <c r="G3" s="626">
        <v>0</v>
      </c>
      <c r="H3" s="626">
        <v>1</v>
      </c>
      <c r="I3" s="626">
        <v>0</v>
      </c>
      <c r="J3" s="626">
        <v>0</v>
      </c>
      <c r="K3" s="626">
        <v>0</v>
      </c>
      <c r="L3" s="626">
        <v>0</v>
      </c>
      <c r="M3" s="626"/>
      <c r="N3" s="626">
        <v>0</v>
      </c>
      <c r="O3" s="626"/>
      <c r="P3" s="626">
        <v>0</v>
      </c>
      <c r="Q3" s="626">
        <v>0</v>
      </c>
      <c r="R3" s="463"/>
      <c r="S3" s="327"/>
      <c r="T3" s="327">
        <v>1</v>
      </c>
    </row>
    <row r="4" spans="1:20" s="464" customFormat="1" ht="15" x14ac:dyDescent="0.25">
      <c r="A4" s="463">
        <v>12</v>
      </c>
      <c r="B4" s="626">
        <v>2</v>
      </c>
      <c r="C4" s="626">
        <v>0</v>
      </c>
      <c r="D4" s="626">
        <v>0</v>
      </c>
      <c r="E4" s="626">
        <v>0</v>
      </c>
      <c r="F4" s="626"/>
      <c r="G4" s="626">
        <v>1</v>
      </c>
      <c r="H4" s="626">
        <v>1</v>
      </c>
      <c r="I4" s="626">
        <v>1</v>
      </c>
      <c r="J4" s="626">
        <v>0</v>
      </c>
      <c r="K4" s="626">
        <v>0</v>
      </c>
      <c r="L4" s="626">
        <v>0</v>
      </c>
      <c r="M4" s="626"/>
      <c r="N4" s="626">
        <v>1</v>
      </c>
      <c r="O4" s="626"/>
      <c r="P4" s="626">
        <v>1</v>
      </c>
      <c r="Q4" s="626">
        <v>0</v>
      </c>
      <c r="R4" s="463"/>
      <c r="S4" s="327"/>
      <c r="T4" s="327">
        <v>1</v>
      </c>
    </row>
    <row r="5" spans="1:20" s="464" customFormat="1" ht="15" x14ac:dyDescent="0.25">
      <c r="A5" s="463">
        <v>13</v>
      </c>
      <c r="B5" s="626">
        <v>1</v>
      </c>
      <c r="C5" s="626">
        <v>0</v>
      </c>
      <c r="D5" s="626">
        <v>0</v>
      </c>
      <c r="E5" s="626">
        <v>0</v>
      </c>
      <c r="F5" s="626"/>
      <c r="G5" s="626">
        <v>1</v>
      </c>
      <c r="H5" s="626">
        <v>2</v>
      </c>
      <c r="I5" s="626">
        <v>0</v>
      </c>
      <c r="J5" s="626">
        <v>0</v>
      </c>
      <c r="K5" s="626">
        <v>0</v>
      </c>
      <c r="L5" s="626">
        <v>0</v>
      </c>
      <c r="M5" s="626"/>
      <c r="N5" s="626">
        <v>0</v>
      </c>
      <c r="O5" s="626"/>
      <c r="P5" s="626">
        <v>0</v>
      </c>
      <c r="Q5" s="626">
        <v>0</v>
      </c>
      <c r="R5" s="463"/>
      <c r="S5" s="327"/>
      <c r="T5" s="327">
        <v>1</v>
      </c>
    </row>
    <row r="6" spans="1:20" s="464" customFormat="1" ht="15" x14ac:dyDescent="0.25">
      <c r="A6" s="463">
        <v>14</v>
      </c>
      <c r="B6" s="626">
        <v>1</v>
      </c>
      <c r="C6" s="626">
        <v>0</v>
      </c>
      <c r="D6" s="626">
        <v>0</v>
      </c>
      <c r="E6" s="626">
        <v>0</v>
      </c>
      <c r="F6" s="626"/>
      <c r="G6" s="626">
        <v>0</v>
      </c>
      <c r="H6" s="626">
        <v>3</v>
      </c>
      <c r="I6" s="626">
        <v>1</v>
      </c>
      <c r="J6" s="626">
        <v>0</v>
      </c>
      <c r="K6" s="626">
        <v>0</v>
      </c>
      <c r="L6" s="626">
        <v>0</v>
      </c>
      <c r="M6" s="626"/>
      <c r="N6" s="626">
        <v>0</v>
      </c>
      <c r="O6" s="626"/>
      <c r="P6" s="626">
        <v>2</v>
      </c>
      <c r="Q6" s="626">
        <v>0</v>
      </c>
      <c r="R6" s="463"/>
      <c r="S6" s="327"/>
      <c r="T6" s="327">
        <v>1</v>
      </c>
    </row>
    <row r="7" spans="1:20" s="464" customFormat="1" ht="15" x14ac:dyDescent="0.25">
      <c r="A7" s="463">
        <v>15</v>
      </c>
      <c r="B7" s="626">
        <v>0</v>
      </c>
      <c r="C7" s="626">
        <v>0</v>
      </c>
      <c r="D7" s="626">
        <v>0</v>
      </c>
      <c r="E7" s="626">
        <v>0</v>
      </c>
      <c r="F7" s="626"/>
      <c r="G7" s="626">
        <v>0</v>
      </c>
      <c r="H7" s="626">
        <v>0</v>
      </c>
      <c r="I7" s="626">
        <v>0</v>
      </c>
      <c r="J7" s="626">
        <v>0</v>
      </c>
      <c r="K7" s="626">
        <v>0</v>
      </c>
      <c r="L7" s="626">
        <v>0</v>
      </c>
      <c r="M7" s="626"/>
      <c r="N7" s="626">
        <v>1</v>
      </c>
      <c r="O7" s="626"/>
      <c r="P7" s="626">
        <v>0</v>
      </c>
      <c r="Q7" s="626">
        <v>0</v>
      </c>
      <c r="R7" s="463"/>
      <c r="S7" s="327"/>
      <c r="T7" s="327">
        <v>3</v>
      </c>
    </row>
    <row r="8" spans="1:20" s="464" customFormat="1" ht="15" x14ac:dyDescent="0.25">
      <c r="A8" s="463">
        <v>16</v>
      </c>
      <c r="B8" s="626">
        <v>1</v>
      </c>
      <c r="C8" s="626">
        <v>0</v>
      </c>
      <c r="D8" s="626">
        <v>0</v>
      </c>
      <c r="E8" s="626">
        <v>0</v>
      </c>
      <c r="F8" s="626"/>
      <c r="G8" s="626">
        <v>1</v>
      </c>
      <c r="H8" s="626">
        <v>1</v>
      </c>
      <c r="I8" s="626">
        <v>0</v>
      </c>
      <c r="J8" s="626">
        <v>1</v>
      </c>
      <c r="K8" s="626">
        <v>0</v>
      </c>
      <c r="L8" s="626">
        <v>1</v>
      </c>
      <c r="M8" s="626"/>
      <c r="N8" s="626">
        <v>1</v>
      </c>
      <c r="O8" s="626"/>
      <c r="P8" s="626">
        <v>0</v>
      </c>
      <c r="Q8" s="626">
        <v>0</v>
      </c>
      <c r="R8" s="463"/>
      <c r="S8" s="327"/>
      <c r="T8" s="579">
        <v>1</v>
      </c>
    </row>
    <row r="9" spans="1:20" x14ac:dyDescent="0.2">
      <c r="R9" s="463"/>
      <c r="S9" s="463"/>
      <c r="T9" s="463"/>
    </row>
    <row r="10" spans="1:20" s="464" customFormat="1" ht="15" x14ac:dyDescent="0.25">
      <c r="A10" s="463">
        <v>21</v>
      </c>
      <c r="B10" s="627">
        <v>1</v>
      </c>
      <c r="C10" s="627">
        <v>0</v>
      </c>
      <c r="D10" s="627">
        <v>0</v>
      </c>
      <c r="E10" s="627">
        <v>0</v>
      </c>
      <c r="F10" s="627"/>
      <c r="G10" s="627">
        <v>0</v>
      </c>
      <c r="H10" s="627">
        <v>1</v>
      </c>
      <c r="I10" s="627">
        <v>0</v>
      </c>
      <c r="J10" s="627">
        <v>1</v>
      </c>
      <c r="K10" s="627">
        <v>0</v>
      </c>
      <c r="L10" s="627">
        <v>0</v>
      </c>
      <c r="M10" s="627"/>
      <c r="N10" s="627">
        <v>0</v>
      </c>
      <c r="O10" s="627"/>
      <c r="P10" s="627">
        <v>0</v>
      </c>
      <c r="Q10" s="627">
        <v>1</v>
      </c>
      <c r="R10" s="463"/>
      <c r="S10" s="327"/>
      <c r="T10" s="327">
        <v>1</v>
      </c>
    </row>
    <row r="11" spans="1:20" s="464" customFormat="1" ht="15" x14ac:dyDescent="0.25">
      <c r="A11" s="463">
        <v>22</v>
      </c>
      <c r="B11" s="627">
        <v>0</v>
      </c>
      <c r="C11" s="627">
        <v>0</v>
      </c>
      <c r="D11" s="627">
        <v>0</v>
      </c>
      <c r="E11" s="627">
        <v>0</v>
      </c>
      <c r="F11" s="627"/>
      <c r="G11" s="627">
        <v>3</v>
      </c>
      <c r="H11" s="627">
        <v>1</v>
      </c>
      <c r="I11" s="627">
        <v>2</v>
      </c>
      <c r="J11" s="627">
        <v>1</v>
      </c>
      <c r="K11" s="627">
        <v>1</v>
      </c>
      <c r="L11" s="627">
        <v>0</v>
      </c>
      <c r="M11" s="627"/>
      <c r="N11" s="627">
        <v>0</v>
      </c>
      <c r="O11" s="627"/>
      <c r="P11" s="627">
        <v>2</v>
      </c>
      <c r="Q11" s="627">
        <v>0</v>
      </c>
      <c r="R11" s="463"/>
      <c r="S11" s="559"/>
      <c r="T11" s="327">
        <v>1</v>
      </c>
    </row>
    <row r="12" spans="1:20" s="464" customFormat="1" ht="15" x14ac:dyDescent="0.25">
      <c r="A12" s="463">
        <v>23</v>
      </c>
      <c r="B12" s="627">
        <v>0</v>
      </c>
      <c r="C12" s="627">
        <v>0</v>
      </c>
      <c r="D12" s="627">
        <v>0</v>
      </c>
      <c r="E12" s="627">
        <v>0</v>
      </c>
      <c r="F12" s="627"/>
      <c r="G12" s="627">
        <v>0</v>
      </c>
      <c r="H12" s="627">
        <v>1</v>
      </c>
      <c r="I12" s="627">
        <v>0</v>
      </c>
      <c r="J12" s="627">
        <v>0</v>
      </c>
      <c r="K12" s="627">
        <v>0</v>
      </c>
      <c r="L12" s="627">
        <v>0</v>
      </c>
      <c r="M12" s="627"/>
      <c r="N12" s="627">
        <v>0</v>
      </c>
      <c r="O12" s="627"/>
      <c r="P12" s="627">
        <v>0</v>
      </c>
      <c r="Q12" s="627">
        <v>0</v>
      </c>
      <c r="R12" s="463"/>
      <c r="S12" s="579"/>
      <c r="T12" s="327"/>
    </row>
    <row r="13" spans="1:20" s="464" customFormat="1" ht="15" x14ac:dyDescent="0.25">
      <c r="A13" s="463">
        <v>24</v>
      </c>
      <c r="B13" s="627">
        <v>0</v>
      </c>
      <c r="C13" s="627">
        <v>0</v>
      </c>
      <c r="D13" s="627">
        <v>0</v>
      </c>
      <c r="E13" s="627">
        <v>0</v>
      </c>
      <c r="F13" s="627"/>
      <c r="G13" s="627">
        <v>0</v>
      </c>
      <c r="H13" s="627">
        <v>0</v>
      </c>
      <c r="I13" s="627">
        <v>1</v>
      </c>
      <c r="J13" s="627">
        <v>0</v>
      </c>
      <c r="K13" s="627">
        <v>0</v>
      </c>
      <c r="L13" s="627">
        <v>0</v>
      </c>
      <c r="M13" s="627"/>
      <c r="N13" s="627">
        <v>0</v>
      </c>
      <c r="O13" s="627"/>
      <c r="P13" s="627">
        <v>1</v>
      </c>
      <c r="Q13" s="627">
        <v>0</v>
      </c>
      <c r="R13" s="463"/>
      <c r="S13" s="579">
        <v>1</v>
      </c>
      <c r="T13" s="327">
        <v>1</v>
      </c>
    </row>
    <row r="14" spans="1:20" s="464" customFormat="1" ht="15" x14ac:dyDescent="0.25">
      <c r="A14" s="463">
        <v>25</v>
      </c>
      <c r="B14" s="627">
        <v>1</v>
      </c>
      <c r="C14" s="627">
        <v>0</v>
      </c>
      <c r="D14" s="627">
        <v>0</v>
      </c>
      <c r="E14" s="627">
        <v>0</v>
      </c>
      <c r="F14" s="627"/>
      <c r="G14" s="627">
        <v>3</v>
      </c>
      <c r="H14" s="627">
        <v>0</v>
      </c>
      <c r="I14" s="627">
        <v>0</v>
      </c>
      <c r="J14" s="627">
        <v>0</v>
      </c>
      <c r="K14" s="627">
        <v>0</v>
      </c>
      <c r="L14" s="627">
        <v>1</v>
      </c>
      <c r="M14" s="627"/>
      <c r="N14" s="627">
        <v>0</v>
      </c>
      <c r="O14" s="627"/>
      <c r="P14" s="627">
        <v>3</v>
      </c>
      <c r="Q14" s="627">
        <v>1</v>
      </c>
      <c r="R14" s="463"/>
      <c r="S14" s="327">
        <v>1</v>
      </c>
      <c r="T14" s="327"/>
    </row>
    <row r="15" spans="1:20" s="464" customFormat="1" ht="15" x14ac:dyDescent="0.25">
      <c r="A15" s="463">
        <v>26</v>
      </c>
      <c r="B15" s="627">
        <v>0</v>
      </c>
      <c r="C15" s="627">
        <v>0</v>
      </c>
      <c r="D15" s="627">
        <v>0</v>
      </c>
      <c r="E15" s="627">
        <v>0</v>
      </c>
      <c r="F15" s="627"/>
      <c r="G15" s="627">
        <v>1</v>
      </c>
      <c r="H15" s="627">
        <v>1</v>
      </c>
      <c r="I15" s="627">
        <v>1</v>
      </c>
      <c r="J15" s="627">
        <v>1</v>
      </c>
      <c r="K15" s="627">
        <v>0</v>
      </c>
      <c r="L15" s="627">
        <v>0</v>
      </c>
      <c r="M15" s="627"/>
      <c r="N15" s="627">
        <v>1</v>
      </c>
      <c r="O15" s="627"/>
      <c r="P15" s="627">
        <v>1</v>
      </c>
      <c r="Q15" s="627">
        <v>0</v>
      </c>
      <c r="R15" s="463"/>
      <c r="S15" s="327">
        <v>4</v>
      </c>
      <c r="T15" s="327">
        <v>6</v>
      </c>
    </row>
    <row r="16" spans="1:20" x14ac:dyDescent="0.2">
      <c r="D16" s="537"/>
      <c r="R16" s="463"/>
      <c r="S16" s="463"/>
      <c r="T16" s="463"/>
    </row>
    <row r="17" spans="1:20" s="464" customFormat="1" ht="15" x14ac:dyDescent="0.25">
      <c r="A17" s="463">
        <v>31</v>
      </c>
      <c r="B17" s="628">
        <v>1</v>
      </c>
      <c r="C17" s="628">
        <v>0</v>
      </c>
      <c r="D17" s="628">
        <v>0</v>
      </c>
      <c r="E17" s="628">
        <v>0</v>
      </c>
      <c r="F17" s="628"/>
      <c r="G17" s="628">
        <v>0</v>
      </c>
      <c r="H17" s="628">
        <v>0</v>
      </c>
      <c r="I17" s="628">
        <v>2</v>
      </c>
      <c r="J17" s="628">
        <v>2</v>
      </c>
      <c r="K17" s="628">
        <v>1</v>
      </c>
      <c r="L17" s="628">
        <v>0</v>
      </c>
      <c r="M17" s="628"/>
      <c r="N17" s="628">
        <v>0</v>
      </c>
      <c r="O17" s="628"/>
      <c r="P17" s="628">
        <v>0</v>
      </c>
      <c r="Q17" s="628">
        <v>1</v>
      </c>
      <c r="R17" s="463"/>
      <c r="S17" s="327">
        <v>1</v>
      </c>
      <c r="T17" s="327">
        <v>3</v>
      </c>
    </row>
    <row r="18" spans="1:20" s="464" customFormat="1" ht="15" x14ac:dyDescent="0.25">
      <c r="A18" s="463">
        <v>32</v>
      </c>
      <c r="B18" s="628">
        <v>0</v>
      </c>
      <c r="C18" s="628">
        <v>0</v>
      </c>
      <c r="D18" s="628">
        <v>0</v>
      </c>
      <c r="E18" s="628">
        <v>1</v>
      </c>
      <c r="F18" s="628"/>
      <c r="G18" s="628">
        <v>0</v>
      </c>
      <c r="H18" s="628">
        <v>1</v>
      </c>
      <c r="I18" s="628">
        <v>0</v>
      </c>
      <c r="J18" s="628">
        <v>0</v>
      </c>
      <c r="K18" s="628">
        <v>0</v>
      </c>
      <c r="L18" s="628">
        <v>0</v>
      </c>
      <c r="M18" s="628"/>
      <c r="N18" s="628">
        <v>1</v>
      </c>
      <c r="O18" s="628"/>
      <c r="P18" s="628">
        <v>0</v>
      </c>
      <c r="Q18" s="628">
        <v>0</v>
      </c>
      <c r="R18" s="463"/>
      <c r="S18" s="327"/>
      <c r="T18" s="327">
        <v>6</v>
      </c>
    </row>
    <row r="19" spans="1:20" s="464" customFormat="1" ht="15" x14ac:dyDescent="0.25">
      <c r="A19" s="463">
        <v>33</v>
      </c>
      <c r="B19" s="628">
        <v>0</v>
      </c>
      <c r="C19" s="628">
        <v>0</v>
      </c>
      <c r="D19" s="628">
        <v>0</v>
      </c>
      <c r="E19" s="628">
        <v>2</v>
      </c>
      <c r="F19" s="628"/>
      <c r="G19" s="628">
        <v>1</v>
      </c>
      <c r="H19" s="628">
        <v>1</v>
      </c>
      <c r="I19" s="628">
        <v>1</v>
      </c>
      <c r="J19" s="628">
        <v>0</v>
      </c>
      <c r="K19" s="628">
        <v>0</v>
      </c>
      <c r="L19" s="628">
        <v>0</v>
      </c>
      <c r="M19" s="628"/>
      <c r="N19" s="628">
        <v>0</v>
      </c>
      <c r="O19" s="628"/>
      <c r="P19" s="628">
        <v>2</v>
      </c>
      <c r="Q19" s="628">
        <v>0</v>
      </c>
      <c r="R19" s="463"/>
      <c r="S19" s="327">
        <v>2</v>
      </c>
      <c r="T19" s="327">
        <v>5</v>
      </c>
    </row>
    <row r="20" spans="1:20" s="464" customFormat="1" ht="15" x14ac:dyDescent="0.25">
      <c r="A20" s="463">
        <v>34</v>
      </c>
      <c r="B20" s="628">
        <v>2</v>
      </c>
      <c r="C20" s="628">
        <v>0</v>
      </c>
      <c r="D20" s="628">
        <v>0</v>
      </c>
      <c r="E20" s="628">
        <v>1</v>
      </c>
      <c r="F20" s="628"/>
      <c r="G20" s="628">
        <v>1</v>
      </c>
      <c r="H20" s="628">
        <v>0</v>
      </c>
      <c r="I20" s="628">
        <v>0</v>
      </c>
      <c r="J20" s="628">
        <v>0</v>
      </c>
      <c r="K20" s="628">
        <v>0</v>
      </c>
      <c r="L20" s="628">
        <v>0</v>
      </c>
      <c r="M20" s="628"/>
      <c r="N20" s="628">
        <v>0</v>
      </c>
      <c r="O20" s="628"/>
      <c r="P20" s="628">
        <v>1</v>
      </c>
      <c r="Q20" s="628">
        <v>0</v>
      </c>
      <c r="R20" s="463"/>
      <c r="S20" s="327"/>
      <c r="T20" s="327">
        <v>7</v>
      </c>
    </row>
    <row r="21" spans="1:20" s="464" customFormat="1" ht="15" x14ac:dyDescent="0.25">
      <c r="A21" s="463">
        <v>35</v>
      </c>
      <c r="B21" s="628">
        <v>0</v>
      </c>
      <c r="C21" s="628">
        <v>0</v>
      </c>
      <c r="D21" s="628">
        <v>0</v>
      </c>
      <c r="E21" s="628">
        <v>0</v>
      </c>
      <c r="F21" s="628"/>
      <c r="G21" s="628">
        <v>1</v>
      </c>
      <c r="H21" s="628">
        <v>1</v>
      </c>
      <c r="I21" s="628">
        <v>1</v>
      </c>
      <c r="J21" s="628">
        <v>1</v>
      </c>
      <c r="K21" s="628">
        <v>0</v>
      </c>
      <c r="L21" s="628">
        <v>0</v>
      </c>
      <c r="M21" s="628"/>
      <c r="N21" s="628">
        <v>1</v>
      </c>
      <c r="O21" s="628"/>
      <c r="P21" s="628">
        <v>0</v>
      </c>
      <c r="Q21" s="628">
        <v>0</v>
      </c>
      <c r="R21" s="463"/>
      <c r="S21" s="327">
        <v>10</v>
      </c>
      <c r="T21" s="327">
        <v>12</v>
      </c>
    </row>
    <row r="22" spans="1:20" s="464" customFormat="1" ht="15" x14ac:dyDescent="0.25">
      <c r="A22" s="463">
        <v>37</v>
      </c>
      <c r="B22" s="628">
        <v>1</v>
      </c>
      <c r="C22" s="628">
        <v>0</v>
      </c>
      <c r="D22" s="628">
        <v>0</v>
      </c>
      <c r="E22" s="628">
        <v>0</v>
      </c>
      <c r="F22" s="628"/>
      <c r="G22" s="628">
        <v>6</v>
      </c>
      <c r="H22" s="628">
        <v>1</v>
      </c>
      <c r="I22" s="628">
        <v>1</v>
      </c>
      <c r="J22" s="628">
        <v>0</v>
      </c>
      <c r="K22" s="628">
        <v>0</v>
      </c>
      <c r="L22" s="628">
        <v>0</v>
      </c>
      <c r="M22" s="628"/>
      <c r="N22" s="628">
        <v>0</v>
      </c>
      <c r="O22" s="628"/>
      <c r="P22" s="628">
        <v>2</v>
      </c>
      <c r="Q22" s="628">
        <v>0</v>
      </c>
      <c r="R22" s="463"/>
      <c r="S22" s="327"/>
      <c r="T22" s="327">
        <v>4</v>
      </c>
    </row>
    <row r="23" spans="1:20" x14ac:dyDescent="0.2">
      <c r="R23" s="463"/>
      <c r="S23" s="463"/>
      <c r="T23" s="463"/>
    </row>
    <row r="24" spans="1:20" s="464" customFormat="1" ht="15" x14ac:dyDescent="0.25">
      <c r="A24" s="463">
        <v>41</v>
      </c>
      <c r="B24" s="629">
        <v>0</v>
      </c>
      <c r="C24" s="629">
        <v>1</v>
      </c>
      <c r="D24" s="629">
        <v>0</v>
      </c>
      <c r="E24" s="629">
        <v>0</v>
      </c>
      <c r="F24" s="629"/>
      <c r="G24" s="629">
        <v>4</v>
      </c>
      <c r="H24" s="629">
        <v>0</v>
      </c>
      <c r="I24" s="629">
        <v>0</v>
      </c>
      <c r="J24" s="629">
        <v>0</v>
      </c>
      <c r="K24" s="629">
        <v>0</v>
      </c>
      <c r="L24" s="629">
        <v>0</v>
      </c>
      <c r="M24" s="629"/>
      <c r="N24" s="629">
        <v>0</v>
      </c>
      <c r="O24" s="629"/>
      <c r="P24" s="629">
        <v>0</v>
      </c>
      <c r="Q24" s="629">
        <v>0</v>
      </c>
      <c r="R24" s="463"/>
      <c r="S24" s="327"/>
      <c r="T24" s="580">
        <v>1</v>
      </c>
    </row>
    <row r="25" spans="1:20" s="464" customFormat="1" ht="15" x14ac:dyDescent="0.25">
      <c r="A25" s="463">
        <v>42</v>
      </c>
      <c r="B25" s="629">
        <v>1</v>
      </c>
      <c r="C25" s="629">
        <v>1</v>
      </c>
      <c r="D25" s="629">
        <v>0</v>
      </c>
      <c r="E25" s="629">
        <v>1</v>
      </c>
      <c r="F25" s="629"/>
      <c r="G25" s="629">
        <v>0</v>
      </c>
      <c r="H25" s="629">
        <v>1</v>
      </c>
      <c r="I25" s="629">
        <v>0</v>
      </c>
      <c r="J25" s="629">
        <v>0</v>
      </c>
      <c r="K25" s="629">
        <v>0</v>
      </c>
      <c r="L25" s="629">
        <v>0</v>
      </c>
      <c r="M25" s="629"/>
      <c r="N25" s="629">
        <v>0</v>
      </c>
      <c r="O25" s="629"/>
      <c r="P25" s="629">
        <v>1</v>
      </c>
      <c r="Q25" s="629">
        <v>0</v>
      </c>
      <c r="R25" s="463"/>
      <c r="S25" s="327"/>
      <c r="T25" s="579"/>
    </row>
    <row r="26" spans="1:20" s="464" customFormat="1" ht="15" x14ac:dyDescent="0.25">
      <c r="A26" s="463">
        <v>43</v>
      </c>
      <c r="B26" s="629">
        <v>0</v>
      </c>
      <c r="C26" s="629">
        <v>1</v>
      </c>
      <c r="D26" s="629">
        <v>0</v>
      </c>
      <c r="E26" s="629">
        <v>0</v>
      </c>
      <c r="F26" s="629"/>
      <c r="G26" s="629">
        <v>2</v>
      </c>
      <c r="H26" s="629">
        <v>1</v>
      </c>
      <c r="I26" s="629">
        <v>0</v>
      </c>
      <c r="J26" s="629">
        <v>0</v>
      </c>
      <c r="K26" s="629">
        <v>0</v>
      </c>
      <c r="L26" s="629">
        <v>0</v>
      </c>
      <c r="M26" s="629"/>
      <c r="N26" s="629">
        <v>0</v>
      </c>
      <c r="O26" s="629"/>
      <c r="P26" s="629">
        <v>11</v>
      </c>
      <c r="Q26" s="629">
        <v>0</v>
      </c>
      <c r="R26" s="463"/>
      <c r="S26" s="327"/>
      <c r="T26" s="579">
        <v>3</v>
      </c>
    </row>
    <row r="27" spans="1:20" s="464" customFormat="1" ht="15" x14ac:dyDescent="0.25">
      <c r="A27" s="463">
        <v>44</v>
      </c>
      <c r="B27" s="629">
        <v>1</v>
      </c>
      <c r="C27" s="629">
        <v>1</v>
      </c>
      <c r="D27" s="629">
        <v>0</v>
      </c>
      <c r="E27" s="629">
        <v>0</v>
      </c>
      <c r="F27" s="629"/>
      <c r="G27" s="629">
        <v>2</v>
      </c>
      <c r="H27" s="629">
        <v>2</v>
      </c>
      <c r="I27" s="629">
        <v>0</v>
      </c>
      <c r="J27" s="629">
        <v>0</v>
      </c>
      <c r="K27" s="629">
        <v>0</v>
      </c>
      <c r="L27" s="629">
        <v>0</v>
      </c>
      <c r="M27" s="629"/>
      <c r="N27" s="629">
        <v>2</v>
      </c>
      <c r="O27" s="629"/>
      <c r="P27" s="629">
        <v>0</v>
      </c>
      <c r="Q27" s="629">
        <v>0</v>
      </c>
      <c r="R27" s="463"/>
      <c r="S27" s="327"/>
      <c r="T27" s="327">
        <v>2</v>
      </c>
    </row>
    <row r="28" spans="1:20" s="464" customFormat="1" x14ac:dyDescent="0.2">
      <c r="A28" s="463">
        <v>45</v>
      </c>
      <c r="B28" s="552"/>
      <c r="C28" s="552"/>
      <c r="D28" s="552"/>
      <c r="E28" s="552"/>
      <c r="F28" s="552"/>
      <c r="G28" s="552"/>
      <c r="H28" s="552"/>
      <c r="I28" s="552"/>
      <c r="J28" s="552"/>
      <c r="K28" s="552"/>
      <c r="L28" s="552"/>
      <c r="M28" s="552"/>
      <c r="N28" s="552"/>
      <c r="O28" s="552"/>
      <c r="P28" s="552"/>
      <c r="Q28" s="552"/>
      <c r="R28" s="463"/>
      <c r="S28" s="327"/>
      <c r="T28" s="327">
        <v>2</v>
      </c>
    </row>
    <row r="29" spans="1:20" s="464" customFormat="1" ht="15" x14ac:dyDescent="0.25">
      <c r="A29" s="463">
        <v>46</v>
      </c>
      <c r="B29" s="630">
        <v>0</v>
      </c>
      <c r="C29" s="630">
        <v>1</v>
      </c>
      <c r="D29" s="630">
        <v>0</v>
      </c>
      <c r="E29" s="630">
        <v>0</v>
      </c>
      <c r="F29" s="630"/>
      <c r="G29" s="630">
        <v>1</v>
      </c>
      <c r="H29" s="630">
        <v>1</v>
      </c>
      <c r="I29" s="630">
        <v>0</v>
      </c>
      <c r="J29" s="630">
        <v>0</v>
      </c>
      <c r="K29" s="630">
        <v>0</v>
      </c>
      <c r="L29" s="630">
        <v>0</v>
      </c>
      <c r="M29" s="630"/>
      <c r="N29" s="630">
        <v>0</v>
      </c>
      <c r="O29" s="630"/>
      <c r="P29" s="630">
        <v>5</v>
      </c>
      <c r="Q29" s="630">
        <v>0</v>
      </c>
      <c r="R29" s="463"/>
      <c r="S29" s="327"/>
      <c r="T29" s="579">
        <v>2</v>
      </c>
    </row>
    <row r="30" spans="1:20" x14ac:dyDescent="0.2">
      <c r="R30" s="463"/>
      <c r="S30" s="463"/>
      <c r="T30" s="463"/>
    </row>
    <row r="31" spans="1:20" s="464" customFormat="1" ht="15" x14ac:dyDescent="0.25">
      <c r="A31" s="463">
        <v>51</v>
      </c>
      <c r="B31" s="631">
        <v>0</v>
      </c>
      <c r="C31" s="631">
        <v>0</v>
      </c>
      <c r="D31" s="631">
        <v>1</v>
      </c>
      <c r="E31" s="631">
        <v>0</v>
      </c>
      <c r="F31" s="631"/>
      <c r="G31" s="631">
        <v>4</v>
      </c>
      <c r="H31" s="631">
        <v>0</v>
      </c>
      <c r="I31" s="631">
        <v>0</v>
      </c>
      <c r="J31" s="631">
        <v>0</v>
      </c>
      <c r="K31" s="631">
        <v>0</v>
      </c>
      <c r="L31" s="631">
        <v>0</v>
      </c>
      <c r="M31" s="631"/>
      <c r="N31" s="631">
        <v>0</v>
      </c>
      <c r="O31" s="631"/>
      <c r="P31" s="631">
        <v>5</v>
      </c>
      <c r="Q31" s="631">
        <v>0</v>
      </c>
      <c r="R31" s="463"/>
      <c r="S31" s="532"/>
      <c r="T31" s="327">
        <v>5</v>
      </c>
    </row>
    <row r="32" spans="1:20" s="464" customFormat="1" x14ac:dyDescent="0.2">
      <c r="A32" s="463">
        <v>52</v>
      </c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552"/>
      <c r="Q32" s="552"/>
      <c r="R32" s="463"/>
      <c r="S32" s="327">
        <v>2</v>
      </c>
      <c r="T32" s="327"/>
    </row>
    <row r="33" spans="1:22" s="464" customFormat="1" ht="15" x14ac:dyDescent="0.25">
      <c r="A33" s="463">
        <v>53</v>
      </c>
      <c r="B33" s="632">
        <v>0</v>
      </c>
      <c r="C33" s="632">
        <v>0</v>
      </c>
      <c r="D33" s="632">
        <v>0</v>
      </c>
      <c r="E33" s="632">
        <v>1</v>
      </c>
      <c r="F33" s="632"/>
      <c r="G33" s="632">
        <v>0</v>
      </c>
      <c r="H33" s="632">
        <v>1</v>
      </c>
      <c r="I33" s="632">
        <v>0</v>
      </c>
      <c r="J33" s="632">
        <v>0</v>
      </c>
      <c r="K33" s="632">
        <v>0</v>
      </c>
      <c r="L33" s="632">
        <v>0</v>
      </c>
      <c r="M33" s="632"/>
      <c r="N33" s="632">
        <v>0</v>
      </c>
      <c r="O33" s="632"/>
      <c r="P33" s="632">
        <v>0</v>
      </c>
      <c r="Q33" s="632">
        <v>0</v>
      </c>
      <c r="R33" s="463"/>
      <c r="S33" s="327"/>
      <c r="T33" s="327">
        <v>6</v>
      </c>
    </row>
    <row r="34" spans="1:22" s="464" customFormat="1" ht="15" x14ac:dyDescent="0.25">
      <c r="A34" s="463">
        <v>54</v>
      </c>
      <c r="B34" s="632">
        <v>1</v>
      </c>
      <c r="C34" s="632">
        <v>0</v>
      </c>
      <c r="D34" s="632">
        <v>1</v>
      </c>
      <c r="E34" s="632">
        <v>0</v>
      </c>
      <c r="F34" s="632"/>
      <c r="G34" s="632">
        <v>1</v>
      </c>
      <c r="H34" s="632">
        <v>0</v>
      </c>
      <c r="I34" s="632">
        <v>1</v>
      </c>
      <c r="J34" s="632">
        <v>0</v>
      </c>
      <c r="K34" s="632">
        <v>0</v>
      </c>
      <c r="L34" s="632">
        <v>0</v>
      </c>
      <c r="M34" s="632"/>
      <c r="N34" s="632">
        <v>2</v>
      </c>
      <c r="O34" s="632"/>
      <c r="P34" s="632">
        <v>1</v>
      </c>
      <c r="Q34" s="632">
        <v>0</v>
      </c>
      <c r="R34" s="463"/>
      <c r="S34" s="327"/>
      <c r="T34" s="327">
        <v>2</v>
      </c>
    </row>
    <row r="35" spans="1:22" s="464" customFormat="1" ht="15" x14ac:dyDescent="0.25">
      <c r="A35" s="463">
        <v>55</v>
      </c>
      <c r="B35" s="632">
        <v>0</v>
      </c>
      <c r="C35" s="632">
        <v>0</v>
      </c>
      <c r="D35" s="632">
        <v>0</v>
      </c>
      <c r="E35" s="632">
        <v>0</v>
      </c>
      <c r="F35" s="632"/>
      <c r="G35" s="632">
        <v>3</v>
      </c>
      <c r="H35" s="632">
        <v>0</v>
      </c>
      <c r="I35" s="632">
        <v>2</v>
      </c>
      <c r="J35" s="632">
        <v>0</v>
      </c>
      <c r="K35" s="632">
        <v>0</v>
      </c>
      <c r="L35" s="632">
        <v>0</v>
      </c>
      <c r="M35" s="632"/>
      <c r="N35" s="632">
        <v>2</v>
      </c>
      <c r="O35" s="632"/>
      <c r="P35" s="632">
        <v>2</v>
      </c>
      <c r="Q35" s="632">
        <v>0</v>
      </c>
      <c r="R35" s="463"/>
      <c r="S35" s="327"/>
      <c r="T35" s="327">
        <v>2</v>
      </c>
    </row>
    <row r="36" spans="1:22" s="464" customFormat="1" ht="15" x14ac:dyDescent="0.25">
      <c r="A36" s="463">
        <v>56</v>
      </c>
      <c r="B36" s="632">
        <v>0</v>
      </c>
      <c r="C36" s="632">
        <v>0</v>
      </c>
      <c r="D36" s="632">
        <v>0</v>
      </c>
      <c r="E36" s="632">
        <v>0</v>
      </c>
      <c r="F36" s="632"/>
      <c r="G36" s="632">
        <v>0</v>
      </c>
      <c r="H36" s="632">
        <v>0</v>
      </c>
      <c r="I36" s="632">
        <v>0</v>
      </c>
      <c r="J36" s="632">
        <v>0</v>
      </c>
      <c r="K36" s="632">
        <v>0</v>
      </c>
      <c r="L36" s="632">
        <v>0</v>
      </c>
      <c r="M36" s="632"/>
      <c r="N36" s="632">
        <v>1</v>
      </c>
      <c r="O36" s="632"/>
      <c r="P36" s="632">
        <v>0</v>
      </c>
      <c r="Q36" s="632">
        <v>0</v>
      </c>
      <c r="R36" s="463"/>
      <c r="S36" s="327"/>
      <c r="T36" s="327"/>
    </row>
    <row r="37" spans="1:22" x14ac:dyDescent="0.2">
      <c r="S37" s="539"/>
      <c r="T37" s="539"/>
    </row>
    <row r="38" spans="1:22" s="464" customFormat="1" ht="15" x14ac:dyDescent="0.25">
      <c r="A38" s="463">
        <v>61</v>
      </c>
      <c r="B38" s="633">
        <v>0</v>
      </c>
      <c r="C38" s="633">
        <v>0</v>
      </c>
      <c r="D38" s="633">
        <v>0</v>
      </c>
      <c r="E38" s="633">
        <v>0</v>
      </c>
      <c r="F38" s="633"/>
      <c r="G38" s="633">
        <v>2</v>
      </c>
      <c r="H38" s="633">
        <v>2</v>
      </c>
      <c r="I38" s="633">
        <v>1</v>
      </c>
      <c r="J38" s="633">
        <v>0</v>
      </c>
      <c r="K38" s="633">
        <v>0</v>
      </c>
      <c r="L38" s="633">
        <v>0</v>
      </c>
      <c r="M38" s="633"/>
      <c r="N38" s="633">
        <v>1</v>
      </c>
      <c r="O38" s="633"/>
      <c r="P38" s="633">
        <v>0</v>
      </c>
      <c r="Q38" s="633">
        <v>0</v>
      </c>
      <c r="S38" s="327"/>
      <c r="T38" s="327">
        <v>1</v>
      </c>
    </row>
    <row r="39" spans="1:22" s="464" customFormat="1" ht="15" x14ac:dyDescent="0.25">
      <c r="A39" s="463">
        <v>62</v>
      </c>
      <c r="B39" s="633">
        <v>0</v>
      </c>
      <c r="C39" s="633">
        <v>0</v>
      </c>
      <c r="D39" s="633">
        <v>0</v>
      </c>
      <c r="E39" s="633">
        <v>0</v>
      </c>
      <c r="F39" s="633"/>
      <c r="G39" s="633">
        <v>3</v>
      </c>
      <c r="H39" s="633">
        <v>1</v>
      </c>
      <c r="I39" s="633">
        <v>1</v>
      </c>
      <c r="J39" s="633">
        <v>0</v>
      </c>
      <c r="K39" s="633">
        <v>0</v>
      </c>
      <c r="L39" s="633">
        <v>0</v>
      </c>
      <c r="M39" s="633"/>
      <c r="N39" s="633">
        <v>0</v>
      </c>
      <c r="O39" s="633"/>
      <c r="P39" s="633">
        <v>0</v>
      </c>
      <c r="Q39" s="633">
        <v>0</v>
      </c>
      <c r="S39" s="327"/>
      <c r="T39" s="327">
        <v>1</v>
      </c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  <row r="46" spans="1:22" x14ac:dyDescent="0.2">
      <c r="S46" s="464"/>
      <c r="T46" s="464"/>
      <c r="U46" s="464"/>
      <c r="V46" s="464"/>
    </row>
    <row r="47" spans="1:22" x14ac:dyDescent="0.2">
      <c r="S47" s="464"/>
      <c r="T47" s="464"/>
      <c r="U47" s="464"/>
      <c r="V47" s="464"/>
    </row>
    <row r="48" spans="1:22" x14ac:dyDescent="0.2">
      <c r="S48" s="464"/>
      <c r="T48" s="464"/>
      <c r="U48" s="464"/>
      <c r="V48" s="464"/>
    </row>
    <row r="49" spans="19:22" x14ac:dyDescent="0.2">
      <c r="S49" s="464"/>
      <c r="T49" s="464"/>
      <c r="U49" s="464"/>
      <c r="V49" s="464"/>
    </row>
    <row r="50" spans="19:22" x14ac:dyDescent="0.2">
      <c r="S50" s="464"/>
      <c r="T50" s="464"/>
      <c r="U50" s="464"/>
      <c r="V50" s="464"/>
    </row>
    <row r="51" spans="19:22" x14ac:dyDescent="0.2">
      <c r="S51" s="464"/>
      <c r="T51" s="464"/>
      <c r="U51" s="464"/>
      <c r="V51" s="464"/>
    </row>
    <row r="52" spans="19:22" x14ac:dyDescent="0.2">
      <c r="S52" s="464"/>
      <c r="T52" s="464"/>
      <c r="U52" s="464"/>
      <c r="V52" s="464"/>
    </row>
    <row r="53" spans="19:22" x14ac:dyDescent="0.2">
      <c r="S53" s="464"/>
      <c r="T53" s="464"/>
      <c r="U53" s="464"/>
      <c r="V53" s="464"/>
    </row>
    <row r="54" spans="19:22" x14ac:dyDescent="0.2">
      <c r="S54" s="464"/>
      <c r="T54" s="464"/>
      <c r="U54" s="464"/>
      <c r="V54" s="464"/>
    </row>
    <row r="55" spans="19:22" x14ac:dyDescent="0.2">
      <c r="S55" s="464"/>
      <c r="T55" s="464"/>
      <c r="U55" s="464"/>
      <c r="V55" s="464"/>
    </row>
    <row r="56" spans="19:22" x14ac:dyDescent="0.2">
      <c r="S56" s="464"/>
      <c r="T56" s="464"/>
      <c r="U56" s="464"/>
      <c r="V56" s="464"/>
    </row>
    <row r="57" spans="19:22" x14ac:dyDescent="0.2">
      <c r="S57" s="464"/>
      <c r="T57" s="464"/>
      <c r="U57" s="464"/>
      <c r="V57" s="464"/>
    </row>
    <row r="58" spans="19:22" x14ac:dyDescent="0.2">
      <c r="S58" s="464"/>
      <c r="T58" s="464"/>
      <c r="U58" s="464"/>
      <c r="V58" s="464"/>
    </row>
    <row r="59" spans="19:22" x14ac:dyDescent="0.2">
      <c r="S59" s="464"/>
      <c r="T59" s="464"/>
      <c r="U59" s="464"/>
      <c r="V59" s="464"/>
    </row>
    <row r="60" spans="19:22" x14ac:dyDescent="0.2">
      <c r="S60" s="464"/>
      <c r="T60" s="464"/>
      <c r="U60" s="464"/>
      <c r="V60" s="464"/>
    </row>
    <row r="61" spans="19:22" x14ac:dyDescent="0.2">
      <c r="S61" s="464"/>
      <c r="T61" s="464"/>
      <c r="U61" s="464"/>
      <c r="V61" s="464"/>
    </row>
    <row r="62" spans="19:22" x14ac:dyDescent="0.2">
      <c r="S62" s="464"/>
      <c r="T62" s="464"/>
      <c r="U62" s="464"/>
      <c r="V62" s="464"/>
    </row>
    <row r="63" spans="19:22" x14ac:dyDescent="0.2">
      <c r="S63" s="464"/>
      <c r="T63" s="464"/>
      <c r="U63" s="464"/>
      <c r="V63" s="464"/>
    </row>
    <row r="64" spans="19:22" x14ac:dyDescent="0.2">
      <c r="S64" s="464"/>
      <c r="T64" s="464"/>
      <c r="U64" s="464"/>
      <c r="V64" s="464"/>
    </row>
    <row r="65" spans="19:22" x14ac:dyDescent="0.2">
      <c r="S65" s="464"/>
      <c r="T65" s="464"/>
      <c r="U65" s="464"/>
      <c r="V65" s="464"/>
    </row>
    <row r="66" spans="19:22" x14ac:dyDescent="0.2">
      <c r="S66" s="464"/>
      <c r="T66" s="464"/>
      <c r="U66" s="464"/>
      <c r="V66" s="464"/>
    </row>
    <row r="67" spans="19:22" x14ac:dyDescent="0.2">
      <c r="S67" s="464"/>
      <c r="T67" s="464"/>
      <c r="U67" s="464"/>
      <c r="V67" s="464"/>
    </row>
    <row r="68" spans="19:22" x14ac:dyDescent="0.2">
      <c r="S68" s="464"/>
      <c r="T68" s="464"/>
      <c r="U68" s="464"/>
      <c r="V68" s="464"/>
    </row>
    <row r="69" spans="19:22" x14ac:dyDescent="0.2">
      <c r="S69" s="464"/>
      <c r="T69" s="464"/>
      <c r="U69" s="464"/>
      <c r="V69" s="464"/>
    </row>
    <row r="70" spans="19:22" x14ac:dyDescent="0.2">
      <c r="S70" s="464"/>
      <c r="T70" s="464"/>
      <c r="U70" s="464"/>
      <c r="V70" s="464"/>
    </row>
    <row r="71" spans="19:22" x14ac:dyDescent="0.2">
      <c r="S71" s="464"/>
      <c r="T71" s="464"/>
      <c r="U71" s="464"/>
      <c r="V71" s="464"/>
    </row>
    <row r="72" spans="19:22" x14ac:dyDescent="0.2">
      <c r="S72" s="464"/>
      <c r="T72" s="464"/>
      <c r="U72" s="464"/>
      <c r="V72" s="464"/>
    </row>
    <row r="73" spans="19:22" x14ac:dyDescent="0.2">
      <c r="S73" s="464"/>
      <c r="T73" s="464"/>
      <c r="U73" s="464"/>
      <c r="V73" s="464"/>
    </row>
    <row r="74" spans="19:22" x14ac:dyDescent="0.2">
      <c r="S74" s="464"/>
      <c r="T74" s="464"/>
      <c r="U74" s="464"/>
      <c r="V74" s="464"/>
    </row>
    <row r="75" spans="19:22" x14ac:dyDescent="0.2">
      <c r="S75" s="464"/>
      <c r="T75" s="464"/>
      <c r="U75" s="464"/>
      <c r="V75" s="464"/>
    </row>
    <row r="76" spans="19:22" x14ac:dyDescent="0.2">
      <c r="S76" s="464"/>
      <c r="T76" s="464"/>
      <c r="U76" s="464"/>
      <c r="V76" s="464"/>
    </row>
    <row r="77" spans="19:22" x14ac:dyDescent="0.2">
      <c r="S77" s="464"/>
      <c r="T77" s="464"/>
      <c r="U77" s="464"/>
      <c r="V77" s="464"/>
    </row>
    <row r="78" spans="19:22" x14ac:dyDescent="0.2">
      <c r="S78" s="464"/>
      <c r="T78" s="464"/>
      <c r="U78" s="464"/>
      <c r="V78" s="464"/>
    </row>
    <row r="79" spans="19:22" x14ac:dyDescent="0.2">
      <c r="S79" s="464"/>
      <c r="T79" s="464"/>
      <c r="U79" s="464"/>
      <c r="V79" s="464"/>
    </row>
    <row r="80" spans="19:22" x14ac:dyDescent="0.2">
      <c r="S80" s="464"/>
      <c r="T80" s="464"/>
      <c r="U80" s="464"/>
      <c r="V80" s="464"/>
    </row>
    <row r="81" spans="19:22" x14ac:dyDescent="0.2">
      <c r="S81" s="464"/>
      <c r="T81" s="464"/>
      <c r="U81" s="464"/>
      <c r="V81" s="464"/>
    </row>
    <row r="82" spans="19:22" x14ac:dyDescent="0.2">
      <c r="S82" s="464"/>
      <c r="T82" s="464"/>
      <c r="U82" s="464"/>
      <c r="V82" s="464"/>
    </row>
    <row r="83" spans="19:22" x14ac:dyDescent="0.2">
      <c r="S83" s="464"/>
      <c r="T83" s="464"/>
      <c r="U83" s="464"/>
      <c r="V83" s="464"/>
    </row>
    <row r="84" spans="19:22" x14ac:dyDescent="0.2">
      <c r="S84" s="464"/>
      <c r="T84" s="464"/>
      <c r="U84" s="464"/>
      <c r="V84" s="464"/>
    </row>
    <row r="85" spans="19:22" x14ac:dyDescent="0.2">
      <c r="S85" s="464"/>
      <c r="T85" s="464"/>
      <c r="U85" s="464"/>
      <c r="V85" s="464"/>
    </row>
    <row r="86" spans="19:22" x14ac:dyDescent="0.2">
      <c r="S86" s="464"/>
      <c r="T86" s="464"/>
      <c r="U86" s="464"/>
      <c r="V86" s="464"/>
    </row>
    <row r="87" spans="19:22" x14ac:dyDescent="0.2">
      <c r="S87" s="464"/>
      <c r="T87" s="464"/>
      <c r="U87" s="464"/>
      <c r="V87" s="464"/>
    </row>
    <row r="88" spans="19:22" x14ac:dyDescent="0.2">
      <c r="S88" s="464"/>
      <c r="T88" s="464"/>
      <c r="U88" s="464"/>
      <c r="V88" s="464"/>
    </row>
    <row r="89" spans="19:22" x14ac:dyDescent="0.2">
      <c r="S89" s="464"/>
      <c r="T89" s="464"/>
      <c r="U89" s="464"/>
      <c r="V89" s="464"/>
    </row>
    <row r="90" spans="19:22" x14ac:dyDescent="0.2">
      <c r="S90" s="464"/>
      <c r="T90" s="464"/>
      <c r="U90" s="464"/>
      <c r="V90" s="464"/>
    </row>
    <row r="91" spans="19:22" x14ac:dyDescent="0.2">
      <c r="S91" s="464"/>
      <c r="T91" s="464"/>
      <c r="U91" s="464"/>
      <c r="V91" s="464"/>
    </row>
    <row r="92" spans="19:22" x14ac:dyDescent="0.2">
      <c r="S92" s="464"/>
      <c r="T92" s="464"/>
    </row>
    <row r="93" spans="19:22" x14ac:dyDescent="0.2">
      <c r="S93" s="464"/>
      <c r="T93" s="464"/>
    </row>
    <row r="94" spans="19:22" x14ac:dyDescent="0.2">
      <c r="S94" s="464"/>
      <c r="T94" s="464"/>
    </row>
    <row r="95" spans="19:22" x14ac:dyDescent="0.2">
      <c r="S95" s="464"/>
      <c r="T95" s="464"/>
    </row>
    <row r="96" spans="19:22" x14ac:dyDescent="0.2">
      <c r="S96" s="464"/>
      <c r="T96" s="464"/>
    </row>
    <row r="97" spans="19:20" x14ac:dyDescent="0.2">
      <c r="S97" s="464"/>
      <c r="T97" s="464"/>
    </row>
    <row r="98" spans="19:20" x14ac:dyDescent="0.2">
      <c r="S98" s="464"/>
      <c r="T98" s="464"/>
    </row>
    <row r="99" spans="19:20" x14ac:dyDescent="0.2">
      <c r="S99" s="464"/>
      <c r="T99" s="464"/>
    </row>
    <row r="100" spans="19:20" x14ac:dyDescent="0.2">
      <c r="S100" s="464"/>
      <c r="T100" s="464"/>
    </row>
    <row r="101" spans="19:20" x14ac:dyDescent="0.2">
      <c r="S101" s="464"/>
      <c r="T101" s="464"/>
    </row>
    <row r="102" spans="19:20" x14ac:dyDescent="0.2">
      <c r="S102" s="464"/>
      <c r="T102" s="464"/>
    </row>
    <row r="103" spans="19:20" x14ac:dyDescent="0.2">
      <c r="S103" s="464"/>
      <c r="T103" s="464"/>
    </row>
    <row r="104" spans="19:20" x14ac:dyDescent="0.2">
      <c r="S104" s="464"/>
      <c r="T104" s="464"/>
    </row>
    <row r="105" spans="19:20" x14ac:dyDescent="0.2">
      <c r="S105" s="464"/>
      <c r="T105" s="464"/>
    </row>
    <row r="106" spans="19:20" x14ac:dyDescent="0.2">
      <c r="S106" s="464"/>
      <c r="T106" s="464"/>
    </row>
    <row r="107" spans="19:20" x14ac:dyDescent="0.2">
      <c r="S107" s="464"/>
      <c r="T107" s="464"/>
    </row>
    <row r="108" spans="19:20" x14ac:dyDescent="0.2">
      <c r="S108" s="464"/>
      <c r="T108" s="464"/>
    </row>
    <row r="109" spans="19:20" x14ac:dyDescent="0.2">
      <c r="S109" s="464"/>
      <c r="T109" s="464"/>
    </row>
    <row r="110" spans="19:20" x14ac:dyDescent="0.2">
      <c r="S110" s="464"/>
      <c r="T110" s="464"/>
    </row>
    <row r="111" spans="19:20" x14ac:dyDescent="0.2">
      <c r="S111" s="464"/>
      <c r="T111" s="464"/>
    </row>
    <row r="112" spans="19:20" x14ac:dyDescent="0.2">
      <c r="S112" s="464"/>
      <c r="T112" s="464"/>
    </row>
    <row r="113" spans="19:20" x14ac:dyDescent="0.2">
      <c r="S113" s="464"/>
      <c r="T113" s="464"/>
    </row>
    <row r="114" spans="19:20" x14ac:dyDescent="0.2">
      <c r="S114" s="464"/>
      <c r="T114" s="464"/>
    </row>
    <row r="115" spans="19:20" x14ac:dyDescent="0.2">
      <c r="S115" s="464"/>
      <c r="T115" s="464"/>
    </row>
    <row r="116" spans="19:20" x14ac:dyDescent="0.2">
      <c r="S116" s="464"/>
      <c r="T116" s="464"/>
    </row>
    <row r="117" spans="19:20" x14ac:dyDescent="0.2">
      <c r="S117" s="464"/>
      <c r="T117" s="464"/>
    </row>
    <row r="118" spans="19:20" x14ac:dyDescent="0.2">
      <c r="S118" s="464"/>
      <c r="T118" s="464"/>
    </row>
    <row r="119" spans="19:20" x14ac:dyDescent="0.2">
      <c r="S119" s="464"/>
      <c r="T119" s="464"/>
    </row>
    <row r="120" spans="19:20" x14ac:dyDescent="0.2">
      <c r="S120" s="464"/>
      <c r="T120" s="464"/>
    </row>
    <row r="121" spans="19:20" x14ac:dyDescent="0.2">
      <c r="S121" s="464"/>
      <c r="T121" s="464"/>
    </row>
    <row r="122" spans="19:20" x14ac:dyDescent="0.2">
      <c r="S122" s="464"/>
      <c r="T122" s="464"/>
    </row>
    <row r="123" spans="19:20" x14ac:dyDescent="0.2">
      <c r="S123" s="464"/>
      <c r="T123" s="464"/>
    </row>
    <row r="124" spans="19:20" x14ac:dyDescent="0.2">
      <c r="S124" s="464"/>
      <c r="T124" s="464"/>
    </row>
    <row r="125" spans="19:20" x14ac:dyDescent="0.2">
      <c r="S125" s="464"/>
      <c r="T125" s="464"/>
    </row>
    <row r="126" spans="19:20" x14ac:dyDescent="0.2">
      <c r="S126" s="464"/>
      <c r="T126" s="464"/>
    </row>
    <row r="127" spans="19:20" x14ac:dyDescent="0.2">
      <c r="S127" s="464"/>
      <c r="T127" s="464"/>
    </row>
    <row r="128" spans="19:20" x14ac:dyDescent="0.2">
      <c r="S128" s="464"/>
      <c r="T128" s="464"/>
    </row>
    <row r="129" spans="19:20" x14ac:dyDescent="0.2">
      <c r="S129" s="464"/>
      <c r="T129" s="464"/>
    </row>
    <row r="130" spans="19:20" x14ac:dyDescent="0.2">
      <c r="S130" s="464"/>
      <c r="T130" s="464"/>
    </row>
    <row r="131" spans="19:20" x14ac:dyDescent="0.2">
      <c r="S131" s="464"/>
      <c r="T131" s="464"/>
    </row>
    <row r="132" spans="19:20" x14ac:dyDescent="0.2">
      <c r="S132" s="464"/>
      <c r="T132" s="464"/>
    </row>
    <row r="133" spans="19:20" x14ac:dyDescent="0.2">
      <c r="S133" s="464"/>
      <c r="T133" s="464"/>
    </row>
    <row r="134" spans="19:20" x14ac:dyDescent="0.2">
      <c r="S134" s="464"/>
      <c r="T134" s="464"/>
    </row>
    <row r="135" spans="19:20" x14ac:dyDescent="0.2">
      <c r="S135" s="464"/>
      <c r="T135" s="464"/>
    </row>
    <row r="136" spans="19:20" x14ac:dyDescent="0.2">
      <c r="S136" s="464"/>
      <c r="T136" s="464"/>
    </row>
    <row r="137" spans="19:20" x14ac:dyDescent="0.2">
      <c r="S137" s="464"/>
      <c r="T137" s="464"/>
    </row>
    <row r="138" spans="19:20" x14ac:dyDescent="0.2">
      <c r="S138" s="464"/>
      <c r="T138" s="464"/>
    </row>
    <row r="139" spans="19:20" x14ac:dyDescent="0.2">
      <c r="S139" s="464"/>
      <c r="T139" s="464"/>
    </row>
    <row r="140" spans="19:20" x14ac:dyDescent="0.2">
      <c r="S140" s="464"/>
      <c r="T140" s="464"/>
    </row>
    <row r="141" spans="19:20" x14ac:dyDescent="0.2">
      <c r="S141" s="464"/>
      <c r="T141" s="464"/>
    </row>
    <row r="142" spans="19:20" x14ac:dyDescent="0.2">
      <c r="S142" s="464"/>
      <c r="T142" s="464"/>
    </row>
    <row r="143" spans="19:20" x14ac:dyDescent="0.2">
      <c r="S143" s="464"/>
      <c r="T143" s="464"/>
    </row>
    <row r="144" spans="19:20" x14ac:dyDescent="0.2">
      <c r="S144" s="464"/>
      <c r="T144" s="464"/>
    </row>
    <row r="145" spans="19:20" x14ac:dyDescent="0.2">
      <c r="S145" s="464"/>
      <c r="T145" s="464"/>
    </row>
    <row r="146" spans="19:20" x14ac:dyDescent="0.2">
      <c r="S146" s="464"/>
      <c r="T146" s="464"/>
    </row>
    <row r="147" spans="19:20" x14ac:dyDescent="0.2">
      <c r="S147" s="464"/>
      <c r="T147" s="464"/>
    </row>
    <row r="148" spans="19:20" x14ac:dyDescent="0.2">
      <c r="S148" s="464"/>
      <c r="T148" s="464"/>
    </row>
    <row r="149" spans="19:20" x14ac:dyDescent="0.2">
      <c r="S149" s="464"/>
      <c r="T149" s="464"/>
    </row>
    <row r="150" spans="19:20" x14ac:dyDescent="0.2">
      <c r="S150" s="464"/>
      <c r="T150" s="464"/>
    </row>
    <row r="151" spans="19:20" x14ac:dyDescent="0.2">
      <c r="S151" s="464"/>
      <c r="T151" s="464"/>
    </row>
    <row r="152" spans="19:20" x14ac:dyDescent="0.2">
      <c r="S152" s="464"/>
      <c r="T152" s="464"/>
    </row>
    <row r="153" spans="19:20" x14ac:dyDescent="0.2">
      <c r="S153" s="464"/>
      <c r="T153" s="464"/>
    </row>
    <row r="154" spans="19:20" x14ac:dyDescent="0.2">
      <c r="S154" s="464"/>
      <c r="T154" s="464"/>
    </row>
    <row r="155" spans="19:20" x14ac:dyDescent="0.2">
      <c r="S155" s="464"/>
      <c r="T155" s="464"/>
    </row>
    <row r="156" spans="19:20" x14ac:dyDescent="0.2">
      <c r="S156" s="464"/>
      <c r="T156" s="464"/>
    </row>
    <row r="157" spans="19:20" x14ac:dyDescent="0.2">
      <c r="S157" s="464"/>
      <c r="T157" s="464"/>
    </row>
    <row r="158" spans="19:20" x14ac:dyDescent="0.2">
      <c r="S158" s="464"/>
      <c r="T158" s="464"/>
    </row>
    <row r="159" spans="19:20" x14ac:dyDescent="0.2">
      <c r="S159" s="464"/>
      <c r="T159" s="464"/>
    </row>
    <row r="160" spans="19:20" x14ac:dyDescent="0.2">
      <c r="S160" s="464"/>
      <c r="T160" s="464"/>
    </row>
    <row r="161" spans="19:20" x14ac:dyDescent="0.2">
      <c r="S161" s="464"/>
      <c r="T161" s="464"/>
    </row>
    <row r="162" spans="19:20" x14ac:dyDescent="0.2">
      <c r="S162" s="464"/>
      <c r="T162" s="464"/>
    </row>
    <row r="163" spans="19:20" x14ac:dyDescent="0.2">
      <c r="S163" s="464"/>
      <c r="T163" s="464"/>
    </row>
    <row r="164" spans="19:20" x14ac:dyDescent="0.2">
      <c r="S164" s="464"/>
      <c r="T164" s="464"/>
    </row>
    <row r="165" spans="19:20" x14ac:dyDescent="0.2">
      <c r="S165" s="464"/>
      <c r="T165" s="464"/>
    </row>
    <row r="166" spans="19:20" x14ac:dyDescent="0.2">
      <c r="S166" s="464"/>
      <c r="T166" s="464"/>
    </row>
    <row r="167" spans="19:20" x14ac:dyDescent="0.2">
      <c r="S167" s="464"/>
      <c r="T167" s="464"/>
    </row>
    <row r="168" spans="19:20" x14ac:dyDescent="0.2">
      <c r="S168" s="464"/>
      <c r="T168" s="464"/>
    </row>
    <row r="169" spans="19:20" x14ac:dyDescent="0.2">
      <c r="S169" s="464"/>
      <c r="T169" s="464"/>
    </row>
    <row r="170" spans="19:20" x14ac:dyDescent="0.2">
      <c r="S170" s="464"/>
      <c r="T170" s="464"/>
    </row>
    <row r="171" spans="19:20" x14ac:dyDescent="0.2">
      <c r="S171" s="464"/>
      <c r="T171" s="464"/>
    </row>
    <row r="172" spans="19:20" x14ac:dyDescent="0.2">
      <c r="S172" s="464"/>
      <c r="T172" s="464"/>
    </row>
    <row r="173" spans="19:20" x14ac:dyDescent="0.2">
      <c r="S173" s="464"/>
      <c r="T173" s="464"/>
    </row>
    <row r="174" spans="19:20" x14ac:dyDescent="0.2">
      <c r="S174" s="464"/>
      <c r="T174" s="464"/>
    </row>
    <row r="175" spans="19:20" x14ac:dyDescent="0.2">
      <c r="S175" s="464"/>
      <c r="T175" s="464"/>
    </row>
    <row r="176" spans="19:20" x14ac:dyDescent="0.2">
      <c r="S176" s="464"/>
      <c r="T176" s="464"/>
    </row>
    <row r="177" spans="19:20" x14ac:dyDescent="0.2">
      <c r="S177" s="464"/>
      <c r="T177" s="464"/>
    </row>
    <row r="178" spans="19:20" x14ac:dyDescent="0.2">
      <c r="S178" s="464"/>
      <c r="T178" s="464"/>
    </row>
    <row r="179" spans="19:20" x14ac:dyDescent="0.2">
      <c r="S179" s="464"/>
      <c r="T179" s="464"/>
    </row>
    <row r="180" spans="19:20" x14ac:dyDescent="0.2">
      <c r="S180" s="464"/>
      <c r="T180" s="464"/>
    </row>
    <row r="181" spans="19:20" x14ac:dyDescent="0.2">
      <c r="S181" s="464"/>
      <c r="T181" s="464"/>
    </row>
    <row r="182" spans="19:20" x14ac:dyDescent="0.2">
      <c r="S182" s="464"/>
      <c r="T182" s="464"/>
    </row>
    <row r="183" spans="19:20" x14ac:dyDescent="0.2">
      <c r="S183" s="464"/>
      <c r="T183" s="464"/>
    </row>
    <row r="184" spans="19:20" x14ac:dyDescent="0.2">
      <c r="S184" s="464"/>
      <c r="T184" s="464"/>
    </row>
    <row r="185" spans="19:20" x14ac:dyDescent="0.2">
      <c r="S185" s="464"/>
      <c r="T185" s="464"/>
    </row>
    <row r="186" spans="19:20" x14ac:dyDescent="0.2">
      <c r="S186" s="464"/>
      <c r="T186" s="464"/>
    </row>
    <row r="187" spans="19:20" x14ac:dyDescent="0.2">
      <c r="S187" s="464"/>
      <c r="T187" s="464"/>
    </row>
    <row r="188" spans="19:20" x14ac:dyDescent="0.2">
      <c r="S188" s="464"/>
      <c r="T188" s="464"/>
    </row>
    <row r="189" spans="19:20" x14ac:dyDescent="0.2">
      <c r="S189" s="464"/>
      <c r="T189" s="464"/>
    </row>
    <row r="190" spans="19:20" x14ac:dyDescent="0.2">
      <c r="S190" s="464"/>
      <c r="T190" s="464"/>
    </row>
    <row r="191" spans="19:20" x14ac:dyDescent="0.2">
      <c r="S191" s="464"/>
      <c r="T191" s="464"/>
    </row>
    <row r="192" spans="19:20" x14ac:dyDescent="0.2">
      <c r="S192" s="464"/>
      <c r="T192" s="464"/>
    </row>
    <row r="193" spans="19:20" x14ac:dyDescent="0.2">
      <c r="S193" s="464"/>
      <c r="T193" s="464"/>
    </row>
    <row r="194" spans="19:20" x14ac:dyDescent="0.2">
      <c r="S194" s="464"/>
      <c r="T194" s="464"/>
    </row>
    <row r="195" spans="19:20" x14ac:dyDescent="0.2">
      <c r="S195" s="464"/>
      <c r="T195" s="464"/>
    </row>
    <row r="196" spans="19:20" x14ac:dyDescent="0.2">
      <c r="S196" s="464"/>
      <c r="T196" s="464"/>
    </row>
    <row r="197" spans="19:20" x14ac:dyDescent="0.2">
      <c r="S197" s="464"/>
      <c r="T197" s="464"/>
    </row>
    <row r="198" spans="19:20" x14ac:dyDescent="0.2">
      <c r="S198" s="464"/>
      <c r="T198" s="464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topLeftCell="A16"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Data'!F65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2</v>
      </c>
      <c r="L11" s="404">
        <f t="shared" ref="L11:L18" si="0">I11-J11</f>
        <v>0</v>
      </c>
      <c r="M11" s="405">
        <f t="shared" ref="M11:M18" si="1">I11-K11</f>
        <v>-2</v>
      </c>
      <c r="N11" s="380"/>
    </row>
    <row r="12" spans="1:14" x14ac:dyDescent="0.25">
      <c r="A12" s="375"/>
      <c r="B12" s="269" t="s">
        <v>198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Rapes'!E37</f>
        <v>0</v>
      </c>
      <c r="D13" s="556">
        <f>'New Rapes'!D37</f>
        <v>0</v>
      </c>
      <c r="E13" s="555">
        <f>'New Rapes'!C37</f>
        <v>0</v>
      </c>
      <c r="F13" s="555">
        <f>'New Rapes'!B37</f>
        <v>0</v>
      </c>
      <c r="G13" s="452">
        <f t="shared" ref="G13" si="3">SUM(C13:F13)</f>
        <v>0</v>
      </c>
      <c r="H13" s="576">
        <v>7.6712328767123292E-2</v>
      </c>
      <c r="I13" s="557">
        <f>'New Rapes'!G37</f>
        <v>0</v>
      </c>
      <c r="J13" s="556">
        <f>'New Rapes'!H37</f>
        <v>0</v>
      </c>
      <c r="K13" s="556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ago'!D34</f>
        <v>0</v>
      </c>
      <c r="D14" s="401">
        <f>'3 weeks ago'!D34</f>
        <v>1</v>
      </c>
      <c r="E14" s="402">
        <f>'Previous Week'!D34</f>
        <v>0</v>
      </c>
      <c r="F14" s="402">
        <f>'Last Week'!D34</f>
        <v>2</v>
      </c>
      <c r="G14" s="452">
        <f t="shared" si="2"/>
        <v>3</v>
      </c>
      <c r="H14" s="491">
        <f>'2016 Data'!D65</f>
        <v>0.53551912568306015</v>
      </c>
      <c r="I14" s="403">
        <f>'YTD 2017'!D34</f>
        <v>6</v>
      </c>
      <c r="J14" s="401">
        <f>'YTD 2016'!D34</f>
        <v>1</v>
      </c>
      <c r="K14" s="401">
        <f>'YTD 2015'!D34</f>
        <v>1</v>
      </c>
      <c r="L14" s="404">
        <f t="shared" si="0"/>
        <v>5</v>
      </c>
      <c r="M14" s="407">
        <f t="shared" si="1"/>
        <v>5</v>
      </c>
      <c r="N14" s="380"/>
    </row>
    <row r="15" spans="1:14" x14ac:dyDescent="0.25">
      <c r="A15" s="375"/>
      <c r="B15" s="406" t="s">
        <v>30</v>
      </c>
      <c r="C15" s="401">
        <f>'4 weeks ago'!Q34</f>
        <v>0</v>
      </c>
      <c r="D15" s="401">
        <f>'3 weeks ago'!Q34</f>
        <v>0</v>
      </c>
      <c r="E15" s="402">
        <f>'Previous Week'!Q34</f>
        <v>0</v>
      </c>
      <c r="F15" s="402">
        <f>'Last Week'!Q34</f>
        <v>0</v>
      </c>
      <c r="G15" s="452">
        <f t="shared" si="2"/>
        <v>0</v>
      </c>
      <c r="H15" s="491">
        <f>'2016 Data'!Q65</f>
        <v>0.76502732240437155</v>
      </c>
      <c r="I15" s="403">
        <f>'YTD 2017'!Q34</f>
        <v>1</v>
      </c>
      <c r="J15" s="401">
        <f>'YTD 2016'!Q34</f>
        <v>4</v>
      </c>
      <c r="K15" s="401">
        <f>'YTD 2015'!Q34</f>
        <v>5</v>
      </c>
      <c r="L15" s="404">
        <f t="shared" si="0"/>
        <v>-3</v>
      </c>
      <c r="M15" s="407">
        <f t="shared" si="1"/>
        <v>-4</v>
      </c>
      <c r="N15" s="380"/>
    </row>
    <row r="16" spans="1:14" x14ac:dyDescent="0.25">
      <c r="A16" s="375"/>
      <c r="B16" s="406" t="s">
        <v>31</v>
      </c>
      <c r="C16" s="401">
        <f>'4 weeks ago'!O34</f>
        <v>0</v>
      </c>
      <c r="D16" s="401">
        <f>'3 weeks ago'!O34</f>
        <v>0</v>
      </c>
      <c r="E16" s="402">
        <f>'Previous Week'!O34</f>
        <v>0</v>
      </c>
      <c r="F16" s="402">
        <f>'Last Week'!O34</f>
        <v>1</v>
      </c>
      <c r="G16" s="452">
        <f t="shared" si="2"/>
        <v>1</v>
      </c>
      <c r="H16" s="491">
        <f>'2016 Data'!O65</f>
        <v>0</v>
      </c>
      <c r="I16" s="403">
        <f>'YTD 2017'!O34</f>
        <v>1</v>
      </c>
      <c r="J16" s="401">
        <f>'YTD 2016'!O34</f>
        <v>0</v>
      </c>
      <c r="K16" s="401">
        <f>'YTD 2015'!O34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ago'!E34</f>
        <v>0</v>
      </c>
      <c r="D17" s="401">
        <f>'3 weeks ago'!E34</f>
        <v>0</v>
      </c>
      <c r="E17" s="402">
        <f>'Previous Week'!E34</f>
        <v>0</v>
      </c>
      <c r="F17" s="402">
        <f>'Last Week'!E34</f>
        <v>0</v>
      </c>
      <c r="G17" s="452">
        <f t="shared" si="2"/>
        <v>0</v>
      </c>
      <c r="H17" s="491">
        <f>'2016 Data'!E65</f>
        <v>0.68852459016393441</v>
      </c>
      <c r="I17" s="403">
        <f>'YTD 2017'!E34</f>
        <v>3</v>
      </c>
      <c r="J17" s="401">
        <f>'YTD 2016'!E34</f>
        <v>2</v>
      </c>
      <c r="K17" s="401">
        <f>'YTD 2015'!E34</f>
        <v>6</v>
      </c>
      <c r="L17" s="404">
        <f t="shared" si="0"/>
        <v>1</v>
      </c>
      <c r="M17" s="407">
        <f t="shared" si="1"/>
        <v>-3</v>
      </c>
      <c r="N17" s="380"/>
    </row>
    <row r="18" spans="1:14" x14ac:dyDescent="0.25">
      <c r="A18" s="375"/>
      <c r="B18" s="406" t="s">
        <v>41</v>
      </c>
      <c r="C18" s="401">
        <f>'4 weeks ago'!J34</f>
        <v>0</v>
      </c>
      <c r="D18" s="401">
        <f>'3 weeks ago'!J34</f>
        <v>0</v>
      </c>
      <c r="E18" s="402">
        <f>'Previous Week'!J34</f>
        <v>0</v>
      </c>
      <c r="F18" s="402">
        <f>'Last Week'!J34</f>
        <v>3</v>
      </c>
      <c r="G18" s="452">
        <f t="shared" si="2"/>
        <v>3</v>
      </c>
      <c r="H18" s="491">
        <f>'2016 Data'!J65</f>
        <v>0.61202185792349728</v>
      </c>
      <c r="I18" s="403">
        <f>'YTD 2017'!J34</f>
        <v>4</v>
      </c>
      <c r="J18" s="401">
        <f>'YTD 2016'!J34</f>
        <v>3</v>
      </c>
      <c r="K18" s="401">
        <f>'YTD 2015'!J34</f>
        <v>1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6</v>
      </c>
      <c r="G19" s="453">
        <f t="shared" si="4"/>
        <v>7</v>
      </c>
      <c r="H19" s="492">
        <f t="shared" si="4"/>
        <v>2.8308106894228606</v>
      </c>
      <c r="I19" s="411">
        <f t="shared" si="4"/>
        <v>15</v>
      </c>
      <c r="J19" s="409">
        <f t="shared" si="4"/>
        <v>10</v>
      </c>
      <c r="K19" s="409">
        <f t="shared" si="4"/>
        <v>16</v>
      </c>
      <c r="L19" s="412">
        <f>(I19-J19)/J19</f>
        <v>0.5</v>
      </c>
      <c r="M19" s="413">
        <f>(I19-K19)/K19</f>
        <v>-6.25E-2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Data'!C65</f>
        <v>0.15300546448087432</v>
      </c>
      <c r="I21" s="416">
        <f>'YTD 2017'!C34</f>
        <v>0</v>
      </c>
      <c r="J21" s="401">
        <f>'YTD 2016'!C34</f>
        <v>1</v>
      </c>
      <c r="K21" s="401">
        <f>'YTD 2015'!C34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ago'!N34</f>
        <v>0</v>
      </c>
      <c r="D22" s="401">
        <f>'3 weeks ago'!N34</f>
        <v>2</v>
      </c>
      <c r="E22" s="402">
        <f>'Previous Week'!N34</f>
        <v>0</v>
      </c>
      <c r="F22" s="402">
        <f>'Last Week'!N34</f>
        <v>2</v>
      </c>
      <c r="G22" s="452">
        <f t="shared" si="5"/>
        <v>4</v>
      </c>
      <c r="H22" s="491">
        <f>'2016 Data'!N65</f>
        <v>6.1202185792349724</v>
      </c>
      <c r="I22" s="418">
        <f>'YTD 2017'!N34</f>
        <v>27</v>
      </c>
      <c r="J22" s="401">
        <f>'YTD 2016'!N34</f>
        <v>16</v>
      </c>
      <c r="K22" s="401">
        <f>'YTD 2015'!N34</f>
        <v>8</v>
      </c>
      <c r="L22" s="404">
        <f t="shared" si="6"/>
        <v>11</v>
      </c>
      <c r="M22" s="407">
        <f t="shared" ref="M22:M29" si="7">I22-K22</f>
        <v>19</v>
      </c>
      <c r="N22" s="380"/>
    </row>
    <row r="23" spans="1:14" x14ac:dyDescent="0.25">
      <c r="A23" s="375"/>
      <c r="B23" s="417" t="s">
        <v>62</v>
      </c>
      <c r="C23" s="401">
        <f>'4 weeks ago'!L34</f>
        <v>0</v>
      </c>
      <c r="D23" s="401">
        <f>'3 weeks ago'!L34</f>
        <v>0</v>
      </c>
      <c r="E23" s="402">
        <f>'Previous Week'!L34</f>
        <v>0</v>
      </c>
      <c r="F23" s="402">
        <f>'Last Week'!L34</f>
        <v>0</v>
      </c>
      <c r="G23" s="418">
        <f t="shared" si="5"/>
        <v>0</v>
      </c>
      <c r="H23" s="491">
        <f>'2016 Data'!L65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ago'!P34</f>
        <v>0</v>
      </c>
      <c r="D24" s="401">
        <f>'3 weeks ago'!P34</f>
        <v>1</v>
      </c>
      <c r="E24" s="402">
        <f>'Previous Week'!P34</f>
        <v>3</v>
      </c>
      <c r="F24" s="402">
        <f>'Last Week'!P34</f>
        <v>0</v>
      </c>
      <c r="G24" s="403">
        <f t="shared" si="5"/>
        <v>4</v>
      </c>
      <c r="H24" s="491">
        <f>'2016 Data'!P65</f>
        <v>1.9890710382513661</v>
      </c>
      <c r="I24" s="418">
        <f>'YTD 2017'!P34</f>
        <v>7</v>
      </c>
      <c r="J24" s="401">
        <f>'YTD 2016'!P34</f>
        <v>9</v>
      </c>
      <c r="K24" s="401">
        <f>'YTD 2015'!P34</f>
        <v>5</v>
      </c>
      <c r="L24" s="404">
        <f t="shared" si="6"/>
        <v>-2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ago'!G34</f>
        <v>0</v>
      </c>
      <c r="D25" s="401">
        <f>'3 weeks ago'!G34</f>
        <v>1</v>
      </c>
      <c r="E25" s="402">
        <f>'Previous Week'!G34</f>
        <v>0</v>
      </c>
      <c r="F25" s="402">
        <f>'Last Week'!G34</f>
        <v>1</v>
      </c>
      <c r="G25" s="403">
        <f t="shared" si="5"/>
        <v>2</v>
      </c>
      <c r="H25" s="491">
        <f>'2016 Data'!G65</f>
        <v>4.6666666666666661</v>
      </c>
      <c r="I25" s="418">
        <f>'YTD 2017'!G34</f>
        <v>10</v>
      </c>
      <c r="J25" s="401">
        <f>'YTD 2016'!G34</f>
        <v>17</v>
      </c>
      <c r="K25" s="401">
        <f>'YTD 2015'!G34</f>
        <v>14</v>
      </c>
      <c r="L25" s="404">
        <f t="shared" si="6"/>
        <v>-7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ago'!I34</f>
        <v>0</v>
      </c>
      <c r="D26" s="401">
        <f>'3 weeks ago'!I34</f>
        <v>1</v>
      </c>
      <c r="E26" s="402">
        <f>'Previous Week'!I34</f>
        <v>1</v>
      </c>
      <c r="F26" s="402">
        <f>'Last Week'!I34</f>
        <v>1</v>
      </c>
      <c r="G26" s="452">
        <f t="shared" si="5"/>
        <v>3</v>
      </c>
      <c r="H26" s="491">
        <f>'2016 Data'!I65</f>
        <v>0.99453551912568305</v>
      </c>
      <c r="I26" s="418">
        <f>'YTD 2017'!I34</f>
        <v>8</v>
      </c>
      <c r="J26" s="401">
        <f>'YTD 2016'!I34</f>
        <v>2</v>
      </c>
      <c r="K26" s="401">
        <f>'YTD 2015'!I34</f>
        <v>2</v>
      </c>
      <c r="L26" s="404">
        <f t="shared" si="6"/>
        <v>6</v>
      </c>
      <c r="M26" s="407">
        <f t="shared" si="7"/>
        <v>6</v>
      </c>
      <c r="N26" s="380"/>
    </row>
    <row r="27" spans="1:14" x14ac:dyDescent="0.25">
      <c r="A27" s="375"/>
      <c r="B27" s="406" t="s">
        <v>67</v>
      </c>
      <c r="C27" s="401">
        <f>'4 weeks ago'!H34</f>
        <v>0</v>
      </c>
      <c r="D27" s="401">
        <f>'3 weeks ago'!H34</f>
        <v>0</v>
      </c>
      <c r="E27" s="402">
        <f>'Previous Week'!H34</f>
        <v>2</v>
      </c>
      <c r="F27" s="402">
        <f>'Last Week'!H34</f>
        <v>0</v>
      </c>
      <c r="G27" s="452">
        <f t="shared" si="5"/>
        <v>2</v>
      </c>
      <c r="H27" s="491">
        <f>'2016 Data'!H65</f>
        <v>2.2185792349726778</v>
      </c>
      <c r="I27" s="418">
        <f>'YTD 2017'!H34</f>
        <v>7</v>
      </c>
      <c r="J27" s="401">
        <f>'YTD 2016'!H34</f>
        <v>10</v>
      </c>
      <c r="K27" s="401">
        <f>'YTD 2015'!H34</f>
        <v>8</v>
      </c>
      <c r="L27" s="404">
        <f>I27-J27</f>
        <v>-3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ago'!K34</f>
        <v>0</v>
      </c>
      <c r="D28" s="401">
        <f>'3 weeks ago'!K34</f>
        <v>0</v>
      </c>
      <c r="E28" s="402">
        <f>'Previous Week'!K34</f>
        <v>0</v>
      </c>
      <c r="F28" s="402">
        <f>'Last Week'!K34</f>
        <v>0</v>
      </c>
      <c r="G28" s="452">
        <f t="shared" si="5"/>
        <v>0</v>
      </c>
      <c r="H28" s="491">
        <f>'2016 Data'!K65</f>
        <v>0.22950819672131148</v>
      </c>
      <c r="I28" s="418">
        <f>'YTD 2017'!K34</f>
        <v>1</v>
      </c>
      <c r="J28" s="401">
        <f>'YTD 2016'!K34</f>
        <v>1</v>
      </c>
      <c r="K28" s="401">
        <f>'YTD 2015'!K34</f>
        <v>2</v>
      </c>
      <c r="L28" s="404">
        <f t="shared" si="6"/>
        <v>0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ago'!B34</f>
        <v>0</v>
      </c>
      <c r="D29" s="401">
        <f>'3 weeks ago'!B34</f>
        <v>1</v>
      </c>
      <c r="E29" s="402">
        <f>'Previous Week'!B34</f>
        <v>1</v>
      </c>
      <c r="F29" s="402">
        <f>'Last Week'!B34</f>
        <v>0</v>
      </c>
      <c r="G29" s="452">
        <f t="shared" si="5"/>
        <v>2</v>
      </c>
      <c r="H29" s="491">
        <f>'2016 Data'!B65</f>
        <v>2.8306010928961749</v>
      </c>
      <c r="I29" s="418">
        <f>'YTD 2017'!B34</f>
        <v>10</v>
      </c>
      <c r="J29" s="401">
        <f>'YTD 2016'!B34</f>
        <v>13</v>
      </c>
      <c r="K29" s="401">
        <f>'YTD 2015'!B34</f>
        <v>9</v>
      </c>
      <c r="L29" s="404">
        <f t="shared" si="6"/>
        <v>-3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0</v>
      </c>
      <c r="D30" s="420">
        <f t="shared" si="8"/>
        <v>6</v>
      </c>
      <c r="E30" s="420">
        <f t="shared" si="8"/>
        <v>7</v>
      </c>
      <c r="F30" s="421">
        <f t="shared" si="8"/>
        <v>4</v>
      </c>
      <c r="G30" s="455">
        <f t="shared" si="8"/>
        <v>17</v>
      </c>
      <c r="H30" s="494">
        <f t="shared" si="8"/>
        <v>19.202185792349727</v>
      </c>
      <c r="I30" s="422">
        <f t="shared" si="8"/>
        <v>71</v>
      </c>
      <c r="J30" s="420">
        <f t="shared" si="8"/>
        <v>69</v>
      </c>
      <c r="K30" s="420">
        <f>SUM(K21:K29)</f>
        <v>50</v>
      </c>
      <c r="L30" s="412">
        <f>(I30-J30)/J30</f>
        <v>2.8985507246376812E-2</v>
      </c>
      <c r="M30" s="413">
        <f>(I30-K30)/K30</f>
        <v>0.42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0</v>
      </c>
      <c r="D31" s="409">
        <f t="shared" si="9"/>
        <v>7</v>
      </c>
      <c r="E31" s="409">
        <f t="shared" si="9"/>
        <v>7</v>
      </c>
      <c r="F31" s="410">
        <f t="shared" si="9"/>
        <v>10</v>
      </c>
      <c r="G31" s="453">
        <f t="shared" si="9"/>
        <v>24</v>
      </c>
      <c r="H31" s="492">
        <f t="shared" si="9"/>
        <v>22.032996481772589</v>
      </c>
      <c r="I31" s="411">
        <f t="shared" si="9"/>
        <v>86</v>
      </c>
      <c r="J31" s="409">
        <f t="shared" si="9"/>
        <v>79</v>
      </c>
      <c r="K31" s="409">
        <f t="shared" si="9"/>
        <v>66</v>
      </c>
      <c r="L31" s="412">
        <f>(I31-J31)/J31</f>
        <v>8.8607594936708861E-2</v>
      </c>
      <c r="M31" s="413">
        <f>(I31-K31)/K31</f>
        <v>0.30303030303030304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ago'!T34</f>
        <v>1</v>
      </c>
      <c r="D42" s="447">
        <f>'3 weeks ago'!T34</f>
        <v>2</v>
      </c>
      <c r="E42" s="446">
        <f>'Previous Week'!T34</f>
        <v>2</v>
      </c>
      <c r="F42" s="460">
        <f>'Last Week'!T34</f>
        <v>4</v>
      </c>
      <c r="G42" s="452">
        <f t="shared" si="10"/>
        <v>9</v>
      </c>
      <c r="H42" s="502">
        <f>'2016 Data'!S65</f>
        <v>10.663013698630136</v>
      </c>
      <c r="I42" s="448">
        <f>'YTD 2017'!T34</f>
        <v>39</v>
      </c>
      <c r="J42" s="482">
        <f>'YTD 2016'!T34</f>
        <v>39</v>
      </c>
      <c r="K42" s="446">
        <f>'YTD 2015'!T34</f>
        <v>38</v>
      </c>
      <c r="L42" s="412">
        <f>(I42-J42)/J42</f>
        <v>0</v>
      </c>
      <c r="M42" s="413">
        <f>(I42-K42)/K42</f>
        <v>2.6315789473684209E-2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2" priority="1" stopIfTrue="1" operator="greaterThan">
      <formula>0</formula>
    </cfRule>
  </conditionalFormatting>
  <conditionalFormatting sqref="L32:M32">
    <cfRule type="cellIs" dxfId="2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Data'!F66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8" si="2">SUM(C12:F12)</f>
        <v>0</v>
      </c>
      <c r="H12" s="491">
        <f>'2016 Data'!M66</f>
        <v>7.650273224043716E-2</v>
      </c>
      <c r="I12" s="403">
        <f>'YTD 2017'!M35</f>
        <v>2</v>
      </c>
      <c r="J12" s="401">
        <f>'YTD 2016'!M35</f>
        <v>1</v>
      </c>
      <c r="K12" s="401">
        <f>'YTD 2015'!M35</f>
        <v>0</v>
      </c>
      <c r="L12" s="404">
        <f t="shared" si="0"/>
        <v>1</v>
      </c>
      <c r="M12" s="407">
        <f t="shared" si="1"/>
        <v>2</v>
      </c>
      <c r="N12" s="380"/>
    </row>
    <row r="13" spans="1:14" x14ac:dyDescent="0.25">
      <c r="A13" s="375"/>
      <c r="B13" s="269" t="s">
        <v>200</v>
      </c>
      <c r="C13" s="556">
        <f>'New Rapes'!E38</f>
        <v>0</v>
      </c>
      <c r="D13" s="556">
        <f>'New Rapes'!D38</f>
        <v>0</v>
      </c>
      <c r="E13" s="555">
        <f>'New Rapes'!C38</f>
        <v>1</v>
      </c>
      <c r="F13" s="555">
        <f>'New Rapes'!B38</f>
        <v>0</v>
      </c>
      <c r="G13" s="452">
        <f t="shared" ref="G13" si="3">SUM(C13:F13)</f>
        <v>1</v>
      </c>
      <c r="H13" s="576">
        <v>0.15342465753424658</v>
      </c>
      <c r="I13" s="557">
        <f>'New Rapes'!G38</f>
        <v>1</v>
      </c>
      <c r="J13" s="556">
        <f>'New Rapes'!H38</f>
        <v>0</v>
      </c>
      <c r="K13" s="556">
        <f>'New Rapes'!I38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Data'!D66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ago'!Q35</f>
        <v>0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0</v>
      </c>
      <c r="H15" s="491">
        <f>'2016 Data'!Q66</f>
        <v>7.650273224043716E-2</v>
      </c>
      <c r="I15" s="403">
        <f>'YTD 2017'!Q35</f>
        <v>1</v>
      </c>
      <c r="J15" s="401">
        <f>'YTD 2016'!Q35</f>
        <v>1</v>
      </c>
      <c r="K15" s="401">
        <f>'YTD 2015'!Q35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ago'!O35</f>
        <v>0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0</v>
      </c>
      <c r="H16" s="491">
        <f>'2016 Data'!O66</f>
        <v>0</v>
      </c>
      <c r="I16" s="403">
        <f>'YTD 2017'!O35</f>
        <v>0</v>
      </c>
      <c r="J16" s="401">
        <f>'YTD 2016'!O35</f>
        <v>0</v>
      </c>
      <c r="K16" s="401">
        <f>'YTD 2015'!O35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Data'!E66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ago'!J35</f>
        <v>0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0</v>
      </c>
      <c r="H18" s="491">
        <f>'2016 Data'!J66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1.0714574444194924</v>
      </c>
      <c r="I19" s="411">
        <f t="shared" si="4"/>
        <v>8</v>
      </c>
      <c r="J19" s="409">
        <f t="shared" si="4"/>
        <v>4</v>
      </c>
      <c r="K19" s="409">
        <f t="shared" si="4"/>
        <v>4</v>
      </c>
      <c r="L19" s="412">
        <f>(I19-J19)/J19</f>
        <v>1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0</v>
      </c>
      <c r="F21" s="402">
        <f>'Last Week'!C35</f>
        <v>0</v>
      </c>
      <c r="G21" s="452">
        <f t="shared" ref="G21:G29" si="5">SUM(C21:F21)</f>
        <v>0</v>
      </c>
      <c r="H21" s="491">
        <f>'2016 Data'!C66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ago'!N35</f>
        <v>0</v>
      </c>
      <c r="D22" s="401">
        <f>'3 weeks ago'!N35</f>
        <v>2</v>
      </c>
      <c r="E22" s="402">
        <f>'Previous Week'!N35</f>
        <v>4</v>
      </c>
      <c r="F22" s="402">
        <f>'Last Week'!N35</f>
        <v>7</v>
      </c>
      <c r="G22" s="452">
        <f t="shared" si="5"/>
        <v>13</v>
      </c>
      <c r="H22" s="491">
        <f>'2016 Data'!N66</f>
        <v>3.9781420765027322</v>
      </c>
      <c r="I22" s="418">
        <f>'YTD 2017'!N35</f>
        <v>22</v>
      </c>
      <c r="J22" s="401">
        <f>'YTD 2016'!N35</f>
        <v>13</v>
      </c>
      <c r="K22" s="401">
        <f>'YTD 2015'!N35</f>
        <v>14</v>
      </c>
      <c r="L22" s="404">
        <f t="shared" si="6"/>
        <v>9</v>
      </c>
      <c r="M22" s="407">
        <f t="shared" ref="M22:M29" si="7">I22-K22</f>
        <v>8</v>
      </c>
      <c r="N22" s="380"/>
    </row>
    <row r="23" spans="1:14" x14ac:dyDescent="0.25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Data'!L66</f>
        <v>0.38251366120218577</v>
      </c>
      <c r="I23" s="418">
        <f>'YTD 2017'!L35</f>
        <v>0</v>
      </c>
      <c r="J23" s="401">
        <f>'YTD 2016'!L35</f>
        <v>3</v>
      </c>
      <c r="K23" s="401">
        <f>'YTD 2015'!L35</f>
        <v>0</v>
      </c>
      <c r="L23" s="404">
        <f t="shared" si="6"/>
        <v>-3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ago'!P35</f>
        <v>0</v>
      </c>
      <c r="D24" s="401">
        <f>'3 weeks ago'!P35</f>
        <v>2</v>
      </c>
      <c r="E24" s="402">
        <f>'Previous Week'!P35</f>
        <v>1</v>
      </c>
      <c r="F24" s="402">
        <f>'Last Week'!P35</f>
        <v>1</v>
      </c>
      <c r="G24" s="403">
        <f t="shared" si="5"/>
        <v>4</v>
      </c>
      <c r="H24" s="491">
        <f>'2016 Data'!P66</f>
        <v>6.1202185792349724</v>
      </c>
      <c r="I24" s="418">
        <f>'YTD 2017'!P35</f>
        <v>15</v>
      </c>
      <c r="J24" s="401">
        <f>'YTD 2016'!P35</f>
        <v>28</v>
      </c>
      <c r="K24" s="401">
        <f>'YTD 2015'!P35</f>
        <v>11</v>
      </c>
      <c r="L24" s="404">
        <f t="shared" si="6"/>
        <v>-13</v>
      </c>
      <c r="M24" s="407">
        <f t="shared" si="7"/>
        <v>4</v>
      </c>
      <c r="N24" s="380"/>
    </row>
    <row r="25" spans="1:14" x14ac:dyDescent="0.25">
      <c r="A25" s="375"/>
      <c r="B25" s="406" t="s">
        <v>7</v>
      </c>
      <c r="C25" s="401">
        <f>'4 weeks ago'!G35</f>
        <v>0</v>
      </c>
      <c r="D25" s="401">
        <f>'3 weeks ago'!G35</f>
        <v>3</v>
      </c>
      <c r="E25" s="402">
        <f>'Previous Week'!G35</f>
        <v>0</v>
      </c>
      <c r="F25" s="402">
        <f>'Last Week'!G35</f>
        <v>1</v>
      </c>
      <c r="G25" s="403">
        <f t="shared" si="5"/>
        <v>4</v>
      </c>
      <c r="H25" s="491">
        <f>'2016 Data'!G66</f>
        <v>4.2076502732240435</v>
      </c>
      <c r="I25" s="418">
        <f>'YTD 2017'!G35</f>
        <v>25</v>
      </c>
      <c r="J25" s="401">
        <f>'YTD 2016'!G35</f>
        <v>19</v>
      </c>
      <c r="K25" s="401">
        <f>'YTD 2015'!G35</f>
        <v>15</v>
      </c>
      <c r="L25" s="404">
        <f t="shared" si="6"/>
        <v>6</v>
      </c>
      <c r="M25" s="407">
        <f t="shared" si="7"/>
        <v>10</v>
      </c>
      <c r="N25" s="380"/>
    </row>
    <row r="26" spans="1:14" x14ac:dyDescent="0.25">
      <c r="A26" s="375"/>
      <c r="B26" s="406" t="s">
        <v>68</v>
      </c>
      <c r="C26" s="401">
        <f>'4 weeks ago'!I35</f>
        <v>1</v>
      </c>
      <c r="D26" s="401">
        <f>'3 weeks ago'!I35</f>
        <v>2</v>
      </c>
      <c r="E26" s="402">
        <f>'Previous Week'!I35</f>
        <v>1</v>
      </c>
      <c r="F26" s="402">
        <f>'Last Week'!I35</f>
        <v>0</v>
      </c>
      <c r="G26" s="452">
        <f t="shared" si="5"/>
        <v>4</v>
      </c>
      <c r="H26" s="491">
        <f>'2016 Data'!I66</f>
        <v>2.6010928961748636</v>
      </c>
      <c r="I26" s="418">
        <f>'YTD 2017'!I35</f>
        <v>9</v>
      </c>
      <c r="J26" s="401">
        <f>'YTD 2016'!I35</f>
        <v>7</v>
      </c>
      <c r="K26" s="401">
        <f>'YTD 2015'!I35</f>
        <v>7</v>
      </c>
      <c r="L26" s="404">
        <f t="shared" si="6"/>
        <v>2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ago'!H35</f>
        <v>0</v>
      </c>
      <c r="D27" s="401">
        <f>'3 weeks ago'!H35</f>
        <v>0</v>
      </c>
      <c r="E27" s="402">
        <f>'Previous Week'!H35</f>
        <v>1</v>
      </c>
      <c r="F27" s="402">
        <f>'Last Week'!H35</f>
        <v>0</v>
      </c>
      <c r="G27" s="452">
        <f t="shared" si="5"/>
        <v>1</v>
      </c>
      <c r="H27" s="491">
        <f>'2016 Data'!H66</f>
        <v>3.6721311475409837</v>
      </c>
      <c r="I27" s="418">
        <f>'YTD 2017'!H35</f>
        <v>12</v>
      </c>
      <c r="J27" s="401">
        <f>'YTD 2016'!H35</f>
        <v>16</v>
      </c>
      <c r="K27" s="401">
        <f>'YTD 2015'!H35</f>
        <v>16</v>
      </c>
      <c r="L27" s="404">
        <f>I27-J27</f>
        <v>-4</v>
      </c>
      <c r="M27" s="407">
        <f>I27-K27</f>
        <v>-4</v>
      </c>
      <c r="N27" s="380"/>
    </row>
    <row r="28" spans="1:14" x14ac:dyDescent="0.25">
      <c r="A28" s="375"/>
      <c r="B28" s="406" t="s">
        <v>34</v>
      </c>
      <c r="C28" s="401">
        <f>'4 weeks ago'!K35</f>
        <v>0</v>
      </c>
      <c r="D28" s="401">
        <f>'3 weeks ago'!K35</f>
        <v>0</v>
      </c>
      <c r="E28" s="402">
        <f>'Previous Week'!K35</f>
        <v>0</v>
      </c>
      <c r="F28" s="402">
        <f>'Last Week'!K35</f>
        <v>0</v>
      </c>
      <c r="G28" s="452">
        <f t="shared" si="5"/>
        <v>0</v>
      </c>
      <c r="H28" s="491">
        <f>'2016 Data'!K66</f>
        <v>1.0710382513661203</v>
      </c>
      <c r="I28" s="418">
        <f>'YTD 2017'!K35</f>
        <v>1</v>
      </c>
      <c r="J28" s="401">
        <f>'YTD 2016'!K35</f>
        <v>9</v>
      </c>
      <c r="K28" s="401">
        <f>'YTD 2015'!K35</f>
        <v>2</v>
      </c>
      <c r="L28" s="404">
        <f t="shared" si="6"/>
        <v>-8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ago'!B35</f>
        <v>0</v>
      </c>
      <c r="D29" s="401">
        <f>'3 weeks ago'!B35</f>
        <v>0</v>
      </c>
      <c r="E29" s="402">
        <f>'Previous Week'!B35</f>
        <v>0</v>
      </c>
      <c r="F29" s="402">
        <f>'Last Week'!B35</f>
        <v>0</v>
      </c>
      <c r="G29" s="452">
        <f t="shared" si="5"/>
        <v>0</v>
      </c>
      <c r="H29" s="491">
        <f>'2016 Data'!B66</f>
        <v>1.5300546448087431</v>
      </c>
      <c r="I29" s="418">
        <f>'YTD 2017'!B35</f>
        <v>5</v>
      </c>
      <c r="J29" s="401">
        <f>'YTD 2016'!B35</f>
        <v>6</v>
      </c>
      <c r="K29" s="401">
        <f>'YTD 2015'!B35</f>
        <v>3</v>
      </c>
      <c r="L29" s="404">
        <f t="shared" si="6"/>
        <v>-1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1</v>
      </c>
      <c r="D30" s="420">
        <f t="shared" si="8"/>
        <v>9</v>
      </c>
      <c r="E30" s="420">
        <f t="shared" si="8"/>
        <v>7</v>
      </c>
      <c r="F30" s="421">
        <f t="shared" si="8"/>
        <v>9</v>
      </c>
      <c r="G30" s="455">
        <f t="shared" si="8"/>
        <v>26</v>
      </c>
      <c r="H30" s="494">
        <f t="shared" si="8"/>
        <v>23.792349726775956</v>
      </c>
      <c r="I30" s="422">
        <f t="shared" si="8"/>
        <v>90</v>
      </c>
      <c r="J30" s="420">
        <f t="shared" si="8"/>
        <v>103</v>
      </c>
      <c r="K30" s="420">
        <f>SUM(K21:K29)</f>
        <v>69</v>
      </c>
      <c r="L30" s="412">
        <f>(I30-J30)/J30</f>
        <v>-0.12621359223300971</v>
      </c>
      <c r="M30" s="413">
        <f>(I30-K30)/K30</f>
        <v>0.30434782608695654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</v>
      </c>
      <c r="D31" s="409">
        <f t="shared" si="9"/>
        <v>9</v>
      </c>
      <c r="E31" s="409">
        <f t="shared" si="9"/>
        <v>8</v>
      </c>
      <c r="F31" s="410">
        <f t="shared" si="9"/>
        <v>9</v>
      </c>
      <c r="G31" s="453">
        <f t="shared" si="9"/>
        <v>27</v>
      </c>
      <c r="H31" s="492">
        <f t="shared" si="9"/>
        <v>24.86380717119545</v>
      </c>
      <c r="I31" s="411">
        <f t="shared" si="9"/>
        <v>98</v>
      </c>
      <c r="J31" s="409">
        <f t="shared" si="9"/>
        <v>107</v>
      </c>
      <c r="K31" s="409">
        <f t="shared" si="9"/>
        <v>73</v>
      </c>
      <c r="L31" s="412">
        <f>(I31-J31)/J31</f>
        <v>-8.4112149532710276E-2</v>
      </c>
      <c r="M31" s="413">
        <f>(I31-K31)/K31</f>
        <v>0.34246575342465752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Data'!R66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ago'!T35</f>
        <v>0</v>
      </c>
      <c r="D42" s="447">
        <f>'3 weeks ago'!T35</f>
        <v>2</v>
      </c>
      <c r="E42" s="446">
        <f>'Previous Week'!T35</f>
        <v>0</v>
      </c>
      <c r="F42" s="460">
        <f>'Last Week'!T35</f>
        <v>1</v>
      </c>
      <c r="G42" s="452">
        <f t="shared" si="10"/>
        <v>3</v>
      </c>
      <c r="H42" s="502">
        <f>'2016 Data'!S66</f>
        <v>5.2931506849315069</v>
      </c>
      <c r="I42" s="448">
        <f>'YTD 2017'!T35</f>
        <v>22</v>
      </c>
      <c r="J42" s="482">
        <f>'YTD 2016'!T35</f>
        <v>23</v>
      </c>
      <c r="K42" s="446">
        <f>'YTD 2015'!T35</f>
        <v>23</v>
      </c>
      <c r="L42" s="412">
        <f>(I42-J42)/J42</f>
        <v>-4.3478260869565216E-2</v>
      </c>
      <c r="M42" s="413">
        <f>(I42-K42)/K42</f>
        <v>-4.3478260869565216E-2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0" priority="1" stopIfTrue="1" operator="greaterThan">
      <formula>0</formula>
    </cfRule>
  </conditionalFormatting>
  <conditionalFormatting sqref="L32:M32">
    <cfRule type="cellIs" dxfId="1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H14" sqref="H1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Data'!F67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Data'!M67</f>
        <v>0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6">
        <f>'New Rapes'!E39</f>
        <v>0</v>
      </c>
      <c r="D13" s="556">
        <f>'New Rapes'!D39</f>
        <v>0</v>
      </c>
      <c r="E13" s="555">
        <f>'New Rapes'!C39</f>
        <v>0</v>
      </c>
      <c r="F13" s="555">
        <f>'New Rapes'!B39</f>
        <v>0</v>
      </c>
      <c r="G13" s="452">
        <f t="shared" ref="G13" si="3">SUM(C13:F13)</f>
        <v>0</v>
      </c>
      <c r="H13" s="576">
        <v>0</v>
      </c>
      <c r="I13" s="557">
        <f>'New Rapes'!G39</f>
        <v>0</v>
      </c>
      <c r="J13" s="556">
        <f>'New Rapes'!H39</f>
        <v>0</v>
      </c>
      <c r="K13" s="556">
        <f>'New Rapes'!I39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Data'!D67</f>
        <v>0</v>
      </c>
      <c r="I14" s="403">
        <f>'YTD 2017'!D36</f>
        <v>0</v>
      </c>
      <c r="J14" s="401">
        <f>'YTD 2016'!D36</f>
        <v>0</v>
      </c>
      <c r="K14" s="401">
        <f>'YTD 2015'!D36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ago'!Q36</f>
        <v>0</v>
      </c>
      <c r="D15" s="401">
        <f>'3 weeks ago'!Q36</f>
        <v>0</v>
      </c>
      <c r="E15" s="402">
        <f>'Previous Week'!Q36</f>
        <v>0</v>
      </c>
      <c r="F15" s="402">
        <f>'Last Week'!Q36</f>
        <v>0</v>
      </c>
      <c r="G15" s="452">
        <f t="shared" si="2"/>
        <v>0</v>
      </c>
      <c r="H15" s="491">
        <f>'2016 Data'!Q67</f>
        <v>0</v>
      </c>
      <c r="I15" s="403">
        <f>'YTD 2017'!Q36</f>
        <v>0</v>
      </c>
      <c r="J15" s="401">
        <f>'YTD 2016'!Q36</f>
        <v>0</v>
      </c>
      <c r="K15" s="401">
        <f>'YTD 2015'!Q36</f>
        <v>2</v>
      </c>
      <c r="L15" s="404">
        <f t="shared" si="0"/>
        <v>0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ago'!O36</f>
        <v>0</v>
      </c>
      <c r="D16" s="401">
        <f>'3 weeks ago'!O36</f>
        <v>0</v>
      </c>
      <c r="E16" s="402">
        <f>'Previous Week'!O36</f>
        <v>1</v>
      </c>
      <c r="F16" s="402">
        <f>'Last Week'!O36</f>
        <v>0</v>
      </c>
      <c r="G16" s="452">
        <f t="shared" si="2"/>
        <v>1</v>
      </c>
      <c r="H16" s="491">
        <f>'2016 Data'!O67</f>
        <v>0</v>
      </c>
      <c r="I16" s="403">
        <f>'YTD 2017'!O36</f>
        <v>1</v>
      </c>
      <c r="J16" s="401">
        <f>'YTD 2016'!O36</f>
        <v>0</v>
      </c>
      <c r="K16" s="401">
        <f>'YTD 2015'!O36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ago'!E36</f>
        <v>0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0</v>
      </c>
      <c r="H17" s="491">
        <f>'2016 Data'!E67</f>
        <v>0.30601092896174864</v>
      </c>
      <c r="I17" s="403">
        <f>'YTD 2017'!E36</f>
        <v>1</v>
      </c>
      <c r="J17" s="401">
        <f>'YTD 2016'!E36</f>
        <v>0</v>
      </c>
      <c r="K17" s="401">
        <f>'YTD 2015'!E36</f>
        <v>2</v>
      </c>
      <c r="L17" s="404">
        <f t="shared" si="0"/>
        <v>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Data'!J67</f>
        <v>7.650273224043716E-2</v>
      </c>
      <c r="I18" s="403">
        <f>'YTD 2017'!J36</f>
        <v>0</v>
      </c>
      <c r="J18" s="401">
        <f>'YTD 2016'!J36</f>
        <v>0</v>
      </c>
      <c r="K18" s="401">
        <f>'YTD 2015'!J36</f>
        <v>1</v>
      </c>
      <c r="L18" s="404">
        <f t="shared" si="0"/>
        <v>0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0.38251366120218577</v>
      </c>
      <c r="I19" s="411">
        <f t="shared" si="4"/>
        <v>3</v>
      </c>
      <c r="J19" s="409">
        <f t="shared" si="4"/>
        <v>0</v>
      </c>
      <c r="K19" s="409">
        <f t="shared" si="4"/>
        <v>6</v>
      </c>
      <c r="L19" s="412" t="e">
        <f>(I19-J19)/J19</f>
        <v>#DIV/0!</v>
      </c>
      <c r="M19" s="413">
        <f>(I19-K19)/K19</f>
        <v>-0.5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Data'!C67</f>
        <v>7.650273224043716E-2</v>
      </c>
      <c r="I21" s="416">
        <f>'YTD 2017'!C36</f>
        <v>0</v>
      </c>
      <c r="J21" s="401">
        <f>'YTD 2016'!C36</f>
        <v>0</v>
      </c>
      <c r="K21" s="401">
        <f>'YTD 2015'!C36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ago'!N36</f>
        <v>0</v>
      </c>
      <c r="D22" s="401">
        <f>'3 weeks ago'!N36</f>
        <v>1</v>
      </c>
      <c r="E22" s="402">
        <f>'Previous Week'!N36</f>
        <v>0</v>
      </c>
      <c r="F22" s="402">
        <f>'Last Week'!N36</f>
        <v>0</v>
      </c>
      <c r="G22" s="452">
        <f t="shared" si="5"/>
        <v>1</v>
      </c>
      <c r="H22" s="491">
        <f>'2016 Data'!N67</f>
        <v>1.2240437158469946</v>
      </c>
      <c r="I22" s="418">
        <f>'YTD 2017'!N36</f>
        <v>4</v>
      </c>
      <c r="J22" s="401">
        <f>'YTD 2016'!N36</f>
        <v>4</v>
      </c>
      <c r="K22" s="401">
        <f>'YTD 2015'!N36</f>
        <v>3</v>
      </c>
      <c r="L22" s="404">
        <f t="shared" si="6"/>
        <v>0</v>
      </c>
      <c r="M22" s="407">
        <f t="shared" ref="M22:M29" si="7">I22-K22</f>
        <v>1</v>
      </c>
      <c r="N22" s="380"/>
    </row>
    <row r="23" spans="1:14" x14ac:dyDescent="0.25">
      <c r="A23" s="375"/>
      <c r="B23" s="417" t="s">
        <v>62</v>
      </c>
      <c r="C23" s="401">
        <f>'4 weeks ago'!L36</f>
        <v>0</v>
      </c>
      <c r="D23" s="401">
        <f>'3 weeks ago'!L36</f>
        <v>0</v>
      </c>
      <c r="E23" s="402">
        <f>'Previous Week'!L36</f>
        <v>0</v>
      </c>
      <c r="F23" s="402">
        <f>'Last Week'!L36</f>
        <v>0</v>
      </c>
      <c r="G23" s="418">
        <f t="shared" si="5"/>
        <v>0</v>
      </c>
      <c r="H23" s="491">
        <f>'2016 Data'!L67</f>
        <v>0</v>
      </c>
      <c r="I23" s="418">
        <f>'YTD 2017'!L36</f>
        <v>0</v>
      </c>
      <c r="J23" s="401">
        <f>'YTD 2016'!L36</f>
        <v>0</v>
      </c>
      <c r="K23" s="401">
        <f>'YTD 2015'!L36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ago'!P36</f>
        <v>0</v>
      </c>
      <c r="D24" s="401">
        <f>'3 weeks ago'!P36</f>
        <v>0</v>
      </c>
      <c r="E24" s="402">
        <f>'Previous Week'!P36</f>
        <v>0</v>
      </c>
      <c r="F24" s="402">
        <f>'Last Week'!P36</f>
        <v>0</v>
      </c>
      <c r="G24" s="403">
        <f t="shared" si="5"/>
        <v>0</v>
      </c>
      <c r="H24" s="491">
        <f>'2016 Data'!P67</f>
        <v>0</v>
      </c>
      <c r="I24" s="418">
        <f>'YTD 2017'!P36</f>
        <v>0</v>
      </c>
      <c r="J24" s="401">
        <f>'YTD 2016'!P36</f>
        <v>0</v>
      </c>
      <c r="K24" s="401">
        <f>'YTD 2015'!P36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ago'!G36</f>
        <v>0</v>
      </c>
      <c r="D25" s="401">
        <f>'3 weeks ago'!G36</f>
        <v>0</v>
      </c>
      <c r="E25" s="402">
        <f>'Previous Week'!G36</f>
        <v>0</v>
      </c>
      <c r="F25" s="402">
        <f>'Last Week'!G36</f>
        <v>0</v>
      </c>
      <c r="G25" s="403">
        <f t="shared" si="5"/>
        <v>0</v>
      </c>
      <c r="H25" s="491">
        <f>'2016 Data'!G67</f>
        <v>0.53551912568306015</v>
      </c>
      <c r="I25" s="418">
        <f>'YTD 2017'!G36</f>
        <v>2</v>
      </c>
      <c r="J25" s="401">
        <f>'YTD 2016'!G36</f>
        <v>3</v>
      </c>
      <c r="K25" s="401">
        <f>'YTD 2015'!G36</f>
        <v>0</v>
      </c>
      <c r="L25" s="404">
        <f t="shared" si="6"/>
        <v>-1</v>
      </c>
      <c r="M25" s="407">
        <f t="shared" si="7"/>
        <v>2</v>
      </c>
      <c r="N25" s="380"/>
    </row>
    <row r="26" spans="1:14" x14ac:dyDescent="0.25">
      <c r="A26" s="375"/>
      <c r="B26" s="406" t="s">
        <v>68</v>
      </c>
      <c r="C26" s="401">
        <f>'4 weeks ago'!I36</f>
        <v>0</v>
      </c>
      <c r="D26" s="401">
        <f>'3 weeks ago'!I36</f>
        <v>0</v>
      </c>
      <c r="E26" s="402">
        <f>'Previous Week'!I36</f>
        <v>0</v>
      </c>
      <c r="F26" s="402">
        <f>'Last Week'!I36</f>
        <v>0</v>
      </c>
      <c r="G26" s="452">
        <f t="shared" si="5"/>
        <v>0</v>
      </c>
      <c r="H26" s="491">
        <f>'2016 Data'!I67</f>
        <v>0.30601092896174864</v>
      </c>
      <c r="I26" s="418">
        <f>'YTD 2017'!I36</f>
        <v>0</v>
      </c>
      <c r="J26" s="401">
        <f>'YTD 2016'!I36</f>
        <v>1</v>
      </c>
      <c r="K26" s="401">
        <f>'YTD 2015'!I36</f>
        <v>0</v>
      </c>
      <c r="L26" s="404">
        <f t="shared" si="6"/>
        <v>-1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ago'!H36</f>
        <v>0</v>
      </c>
      <c r="D27" s="401">
        <f>'3 weeks ago'!H36</f>
        <v>0</v>
      </c>
      <c r="E27" s="402">
        <f>'Previous Week'!H36</f>
        <v>0</v>
      </c>
      <c r="F27" s="402">
        <f>'Last Week'!H36</f>
        <v>0</v>
      </c>
      <c r="G27" s="452">
        <f t="shared" si="5"/>
        <v>0</v>
      </c>
      <c r="H27" s="491">
        <f>'2016 Data'!H67</f>
        <v>0.15300546448087432</v>
      </c>
      <c r="I27" s="418">
        <f>'YTD 2017'!H36</f>
        <v>1</v>
      </c>
      <c r="J27" s="401">
        <f>'YTD 2016'!H36</f>
        <v>1</v>
      </c>
      <c r="K27" s="401">
        <f>'YTD 2015'!H36</f>
        <v>1</v>
      </c>
      <c r="L27" s="404">
        <f>I27-J27</f>
        <v>0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ago'!K36</f>
        <v>0</v>
      </c>
      <c r="D28" s="401">
        <f>'3 weeks ago'!K36</f>
        <v>0</v>
      </c>
      <c r="E28" s="402">
        <f>'Previous Week'!K36</f>
        <v>0</v>
      </c>
      <c r="F28" s="402">
        <f>'Last Week'!K36</f>
        <v>0</v>
      </c>
      <c r="G28" s="452">
        <f t="shared" si="5"/>
        <v>0</v>
      </c>
      <c r="H28" s="491">
        <f>'2016 Data'!K67</f>
        <v>0.15300546448087432</v>
      </c>
      <c r="I28" s="418">
        <f>'YTD 2017'!K36</f>
        <v>1</v>
      </c>
      <c r="J28" s="401">
        <f>'YTD 2016'!K36</f>
        <v>1</v>
      </c>
      <c r="K28" s="401">
        <f>'YTD 2015'!K36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ago'!B36</f>
        <v>0</v>
      </c>
      <c r="D29" s="401">
        <f>'3 weeks ago'!B36</f>
        <v>0</v>
      </c>
      <c r="E29" s="402">
        <f>'Previous Week'!B36</f>
        <v>0</v>
      </c>
      <c r="F29" s="402">
        <f>'Last Week'!B36</f>
        <v>1</v>
      </c>
      <c r="G29" s="452">
        <f t="shared" si="5"/>
        <v>1</v>
      </c>
      <c r="H29" s="491">
        <f>'2016 Data'!B67</f>
        <v>7.650273224043716E-2</v>
      </c>
      <c r="I29" s="418">
        <f>'YTD 2017'!B36</f>
        <v>3</v>
      </c>
      <c r="J29" s="401">
        <f>'YTD 2016'!B36</f>
        <v>1</v>
      </c>
      <c r="K29" s="401">
        <f>'YTD 2015'!B36</f>
        <v>2</v>
      </c>
      <c r="L29" s="404">
        <f t="shared" si="6"/>
        <v>2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0</v>
      </c>
      <c r="D30" s="420">
        <f t="shared" si="8"/>
        <v>1</v>
      </c>
      <c r="E30" s="420">
        <f t="shared" si="8"/>
        <v>0</v>
      </c>
      <c r="F30" s="421">
        <f t="shared" si="8"/>
        <v>1</v>
      </c>
      <c r="G30" s="455">
        <f t="shared" si="8"/>
        <v>2</v>
      </c>
      <c r="H30" s="494">
        <f t="shared" si="8"/>
        <v>2.5245901639344268</v>
      </c>
      <c r="I30" s="422">
        <f t="shared" si="8"/>
        <v>11</v>
      </c>
      <c r="J30" s="420">
        <f t="shared" si="8"/>
        <v>11</v>
      </c>
      <c r="K30" s="420">
        <f>SUM(K21:K29)</f>
        <v>8</v>
      </c>
      <c r="L30" s="412">
        <f>(I30-J30)/J30</f>
        <v>0</v>
      </c>
      <c r="M30" s="413">
        <f>(I30-K30)/K30</f>
        <v>0.375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0</v>
      </c>
      <c r="D31" s="409">
        <f t="shared" si="9"/>
        <v>1</v>
      </c>
      <c r="E31" s="409">
        <f t="shared" si="9"/>
        <v>1</v>
      </c>
      <c r="F31" s="410">
        <f t="shared" si="9"/>
        <v>1</v>
      </c>
      <c r="G31" s="453">
        <f t="shared" si="9"/>
        <v>3</v>
      </c>
      <c r="H31" s="492">
        <f t="shared" si="9"/>
        <v>2.9071038251366126</v>
      </c>
      <c r="I31" s="411">
        <f t="shared" si="9"/>
        <v>14</v>
      </c>
      <c r="J31" s="409">
        <f t="shared" si="9"/>
        <v>11</v>
      </c>
      <c r="K31" s="409">
        <f t="shared" si="9"/>
        <v>14</v>
      </c>
      <c r="L31" s="412">
        <f>(I31-J31)/J31</f>
        <v>0.27272727272727271</v>
      </c>
      <c r="M31" s="413">
        <f>(I31-K31)/K31</f>
        <v>0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Data'!R67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ago'!T36</f>
        <v>2</v>
      </c>
      <c r="D42" s="447">
        <f>'3 weeks ago'!T36</f>
        <v>0</v>
      </c>
      <c r="E42" s="446">
        <f>'Previous Week'!T36</f>
        <v>0</v>
      </c>
      <c r="F42" s="460">
        <f>'Last Week'!T36</f>
        <v>2</v>
      </c>
      <c r="G42" s="452">
        <f t="shared" si="10"/>
        <v>4</v>
      </c>
      <c r="H42" s="502">
        <f>'2016 Data'!S67</f>
        <v>3.989041095890411</v>
      </c>
      <c r="I42" s="448">
        <f>'YTD 2017'!T36</f>
        <v>16</v>
      </c>
      <c r="J42" s="482">
        <f>'YTD 2016'!T36</f>
        <v>18</v>
      </c>
      <c r="K42" s="446">
        <f>'YTD 2015'!T36</f>
        <v>9</v>
      </c>
      <c r="L42" s="412">
        <f>(I42-J42)/J42</f>
        <v>-0.1111111111111111</v>
      </c>
      <c r="M42" s="413">
        <f>(I42-K42)/K42</f>
        <v>0.77777777777777779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8" priority="1" stopIfTrue="1" operator="greaterThan">
      <formula>0</formula>
    </cfRule>
  </conditionalFormatting>
  <conditionalFormatting sqref="L32:M32">
    <cfRule type="cellIs" dxfId="1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workbookViewId="0">
      <selection activeCell="M7" sqref="M7"/>
    </sheetView>
  </sheetViews>
  <sheetFormatPr defaultRowHeight="12.75" x14ac:dyDescent="0.2"/>
  <cols>
    <col min="1" max="1" width="1.42578125" customWidth="1"/>
    <col min="2" max="2" width="26" customWidth="1"/>
    <col min="3" max="4" width="9.7109375" style="327" customWidth="1"/>
    <col min="5" max="5" width="9.7109375" style="40" customWidth="1"/>
    <col min="6" max="7" width="9.7109375" style="327" customWidth="1"/>
    <col min="8" max="8" width="9.7109375" style="40" customWidth="1"/>
    <col min="9" max="12" width="9.7109375" style="327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224</v>
      </c>
      <c r="I4" s="25" t="s">
        <v>223</v>
      </c>
      <c r="N4" s="27"/>
    </row>
    <row r="5" spans="1:21" ht="18.75" customHeight="1" x14ac:dyDescent="0.3">
      <c r="A5" s="27"/>
      <c r="C5" s="220" t="s">
        <v>232</v>
      </c>
      <c r="G5" s="78"/>
      <c r="H5" s="29"/>
      <c r="L5"/>
      <c r="N5" s="27"/>
      <c r="P5" t="s">
        <v>56</v>
      </c>
    </row>
    <row r="6" spans="1:21" ht="15.6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233</v>
      </c>
      <c r="D10" s="250" t="s">
        <v>222</v>
      </c>
      <c r="E10" s="251" t="s">
        <v>181</v>
      </c>
      <c r="F10" s="252" t="s">
        <v>234</v>
      </c>
      <c r="G10" s="253">
        <v>42826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595">
        <f>'Beat 61'!F11+'Beat 62'!F11</f>
        <v>0</v>
      </c>
      <c r="D11" s="2">
        <f>'Beat 61'!E11+'Beat 62'!E11</f>
        <v>0</v>
      </c>
      <c r="E11" s="42">
        <f t="shared" ref="E11:E18" si="0">H11/4</f>
        <v>5.737704918032787E-2</v>
      </c>
      <c r="F11" s="106">
        <f>'Beat 61'!G11+'Beat 62'!G11</f>
        <v>0</v>
      </c>
      <c r="G11" s="263">
        <f>'Previous 28 Days'!F8</f>
        <v>1</v>
      </c>
      <c r="H11" s="42">
        <f>'Beat 61'!H11+'Beat 62'!H11</f>
        <v>0.22950819672131148</v>
      </c>
      <c r="I11" s="596">
        <f>'Beat 61'!I11+'Beat 62'!I11</f>
        <v>2</v>
      </c>
      <c r="J11" s="88">
        <f>'Beat 61'!J11+'Beat 62'!J11</f>
        <v>2</v>
      </c>
      <c r="K11" s="88">
        <f>'Beat 61'!K11+'Beat 62'!K11</f>
        <v>0</v>
      </c>
      <c r="L11" s="52">
        <f>I11-J11</f>
        <v>0</v>
      </c>
      <c r="M11" s="56">
        <f t="shared" ref="M11:M18" si="1">I11-K11</f>
        <v>2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595">
        <f>'Beat 61'!F12+'Beat 62'!F12</f>
        <v>0</v>
      </c>
      <c r="D12" s="2">
        <f>'Beat 61'!E12+'Beat 62'!E12</f>
        <v>0</v>
      </c>
      <c r="E12" s="42">
        <f t="shared" si="0"/>
        <v>3.825136612021858E-2</v>
      </c>
      <c r="F12" s="106">
        <f>'Beat 61'!G12+'Beat 62'!G12</f>
        <v>1</v>
      </c>
      <c r="G12" s="263">
        <f>'Previous 28 Days'!M8</f>
        <v>0</v>
      </c>
      <c r="H12" s="42">
        <f>'Beat 61'!H12+'Beat 62'!H12</f>
        <v>0.15300546448087432</v>
      </c>
      <c r="I12" s="596">
        <f>'Beat 61'!I12+'Beat 62'!I12</f>
        <v>1</v>
      </c>
      <c r="J12" s="88">
        <f>'Beat 61'!J12+'Beat 62'!J12</f>
        <v>2</v>
      </c>
      <c r="K12" s="88">
        <f>'Beat 61'!K12+'Beat 62'!K12</f>
        <v>2</v>
      </c>
      <c r="L12" s="52">
        <f t="shared" ref="L12:L18" si="3">I12-J12</f>
        <v>-1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595">
        <f>'Beat 61'!F13+'Beat 62'!F13</f>
        <v>0</v>
      </c>
      <c r="D13" s="2">
        <f>'Beat 61'!E13+'Beat 62'!E13</f>
        <v>0</v>
      </c>
      <c r="E13" s="42">
        <f t="shared" si="0"/>
        <v>0.11475409836065574</v>
      </c>
      <c r="F13" s="106">
        <f>'Beat 61'!G13+'Beat 62'!G13</f>
        <v>0</v>
      </c>
      <c r="G13" s="558">
        <f>'New Rapes'!L11</f>
        <v>3</v>
      </c>
      <c r="H13" s="42">
        <f>'Beat 61'!H13+'Beat 62'!H13</f>
        <v>0.45901639344262296</v>
      </c>
      <c r="I13" s="596">
        <f>'Beat 61'!I13+'Beat 62'!I13</f>
        <v>4</v>
      </c>
      <c r="J13" s="88">
        <f>'Beat 61'!J13+'Beat 62'!J13</f>
        <v>1</v>
      </c>
      <c r="K13" s="88">
        <f>'Beat 61'!K13+'Beat 62'!K13</f>
        <v>1</v>
      </c>
      <c r="L13" s="52">
        <f t="shared" si="3"/>
        <v>3</v>
      </c>
      <c r="M13" s="53">
        <f t="shared" si="1"/>
        <v>3</v>
      </c>
      <c r="N13" s="18"/>
    </row>
    <row r="14" spans="1:21" x14ac:dyDescent="0.2">
      <c r="A14" s="19"/>
      <c r="B14" s="10" t="s">
        <v>29</v>
      </c>
      <c r="C14" s="595">
        <f>'Beat 61'!F14+'Beat 62'!F14</f>
        <v>0</v>
      </c>
      <c r="D14" s="2">
        <f>'Beat 61'!E14+'Beat 62'!E14</f>
        <v>0</v>
      </c>
      <c r="E14" s="42">
        <f t="shared" si="0"/>
        <v>3.825136612021858E-2</v>
      </c>
      <c r="F14" s="106">
        <f>'Beat 61'!G14+'Beat 62'!G14</f>
        <v>0</v>
      </c>
      <c r="G14" s="263">
        <f>'Previous 28 Days'!D8</f>
        <v>0</v>
      </c>
      <c r="H14" s="42">
        <f>'Beat 61'!H14+'Beat 62'!H14</f>
        <v>0.15300546448087432</v>
      </c>
      <c r="I14" s="596">
        <f>'Beat 61'!I14+'Beat 62'!I14</f>
        <v>0</v>
      </c>
      <c r="J14" s="88">
        <f>'Beat 61'!J14+'Beat 62'!J14</f>
        <v>1</v>
      </c>
      <c r="K14" s="88">
        <f>'Beat 61'!K14+'Beat 62'!K14</f>
        <v>4</v>
      </c>
      <c r="L14" s="52">
        <f t="shared" si="3"/>
        <v>-1</v>
      </c>
      <c r="M14" s="53">
        <f t="shared" si="1"/>
        <v>-4</v>
      </c>
      <c r="N14" s="18"/>
      <c r="P14">
        <f t="shared" ref="P14:R29" si="4">S14/2</f>
        <v>0.52285030595550053</v>
      </c>
      <c r="Q14">
        <f t="shared" si="4"/>
        <v>1.3594107954843013</v>
      </c>
      <c r="R14">
        <f t="shared" si="4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595">
        <f>'Beat 61'!F15+'Beat 62'!F15</f>
        <v>0</v>
      </c>
      <c r="D15" s="2">
        <f>'Beat 61'!E15+'Beat 62'!E15</f>
        <v>0</v>
      </c>
      <c r="E15" s="42">
        <f>H15/4</f>
        <v>0.15300546448087432</v>
      </c>
      <c r="F15" s="106">
        <f>'Beat 61'!G15+'Beat 62'!G15</f>
        <v>1</v>
      </c>
      <c r="G15" s="263">
        <f>'Previous 28 Days'!Q8</f>
        <v>3</v>
      </c>
      <c r="H15" s="42">
        <f>'Beat 61'!H15+'Beat 62'!H15</f>
        <v>0.61202185792349728</v>
      </c>
      <c r="I15" s="596">
        <f>'Beat 61'!I15+'Beat 62'!I15</f>
        <v>4</v>
      </c>
      <c r="J15" s="88">
        <f>'Beat 61'!J15+'Beat 62'!J15</f>
        <v>1</v>
      </c>
      <c r="K15" s="88">
        <f>'Beat 61'!K15+'Beat 62'!K15</f>
        <v>1</v>
      </c>
      <c r="L15" s="52">
        <f t="shared" si="3"/>
        <v>3</v>
      </c>
      <c r="M15" s="53">
        <f t="shared" si="1"/>
        <v>3</v>
      </c>
      <c r="N15" s="18"/>
      <c r="P15">
        <f t="shared" si="4"/>
        <v>0.95189982457013078</v>
      </c>
      <c r="Q15">
        <f t="shared" si="4"/>
        <v>2.4749395438823401</v>
      </c>
      <c r="R15">
        <f t="shared" si="4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595">
        <f>'Beat 61'!F16+'Beat 62'!F16</f>
        <v>0</v>
      </c>
      <c r="D16" s="2">
        <f>'Beat 61'!E16+'Beat 62'!E16</f>
        <v>0</v>
      </c>
      <c r="E16" s="42">
        <f t="shared" si="0"/>
        <v>3.825136612021858E-2</v>
      </c>
      <c r="F16" s="106">
        <f>'Beat 61'!G16+'Beat 62'!G16</f>
        <v>0</v>
      </c>
      <c r="G16" s="263">
        <f>'Previous 28 Days'!O8</f>
        <v>0</v>
      </c>
      <c r="H16" s="42">
        <f>'Beat 61'!H16+'Beat 62'!H16</f>
        <v>0.15300546448087432</v>
      </c>
      <c r="I16" s="596">
        <f>'Beat 61'!I16+'Beat 62'!I16</f>
        <v>0</v>
      </c>
      <c r="J16" s="88">
        <f>'Beat 61'!J16+'Beat 62'!J16</f>
        <v>0</v>
      </c>
      <c r="K16" s="88">
        <f>'Beat 61'!K16+'Beat 62'!K16</f>
        <v>4</v>
      </c>
      <c r="L16" s="52">
        <f t="shared" si="3"/>
        <v>0</v>
      </c>
      <c r="M16" s="53">
        <f t="shared" si="1"/>
        <v>-4</v>
      </c>
      <c r="N16" s="18"/>
      <c r="P16">
        <f t="shared" si="4"/>
        <v>0.29808707740020363</v>
      </c>
      <c r="Q16">
        <f t="shared" si="4"/>
        <v>0.77502640124052957</v>
      </c>
      <c r="R16">
        <f t="shared" si="4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595">
        <f>'Beat 61'!F17+'Beat 62'!F17</f>
        <v>0</v>
      </c>
      <c r="D17" s="2">
        <f>'Beat 61'!E17+'Beat 62'!E17</f>
        <v>0</v>
      </c>
      <c r="E17" s="42">
        <f t="shared" si="0"/>
        <v>0.30601092896174864</v>
      </c>
      <c r="F17" s="106">
        <f>'Beat 61'!G17+'Beat 62'!G17</f>
        <v>0</v>
      </c>
      <c r="G17" s="263">
        <f>'Previous 28 Days'!E8</f>
        <v>1</v>
      </c>
      <c r="H17" s="42">
        <f>'Beat 61'!H17+'Beat 62'!H17</f>
        <v>1.2240437158469946</v>
      </c>
      <c r="I17" s="596">
        <f>'Beat 61'!I17+'Beat 62'!I17</f>
        <v>3</v>
      </c>
      <c r="J17" s="88">
        <f>'Beat 61'!J17+'Beat 62'!J17</f>
        <v>6</v>
      </c>
      <c r="K17" s="88">
        <f>'Beat 61'!K17+'Beat 62'!K17</f>
        <v>2</v>
      </c>
      <c r="L17" s="52">
        <f t="shared" si="3"/>
        <v>-3</v>
      </c>
      <c r="M17" s="53">
        <f t="shared" si="1"/>
        <v>1</v>
      </c>
      <c r="N17" s="18"/>
      <c r="P17">
        <f t="shared" si="4"/>
        <v>0.56009262932659687</v>
      </c>
      <c r="Q17">
        <f t="shared" si="4"/>
        <v>1.4562408362491517</v>
      </c>
      <c r="R17">
        <f t="shared" si="4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595">
        <f>'Beat 61'!F18+'Beat 62'!F18</f>
        <v>0</v>
      </c>
      <c r="D18" s="2">
        <f>'Beat 61'!E18+'Beat 62'!E18</f>
        <v>1</v>
      </c>
      <c r="E18" s="42">
        <f t="shared" si="0"/>
        <v>0.34426229508196721</v>
      </c>
      <c r="F18" s="106">
        <f>'Beat 61'!G18+'Beat 62'!G18</f>
        <v>1</v>
      </c>
      <c r="G18" s="263">
        <f>'Previous 28 Days'!J8</f>
        <v>0</v>
      </c>
      <c r="H18" s="42">
        <f>'Beat 61'!H18+'Beat 62'!H18</f>
        <v>1.3770491803278688</v>
      </c>
      <c r="I18" s="596">
        <f>'Beat 61'!I18+'Beat 62'!I18</f>
        <v>1</v>
      </c>
      <c r="J18" s="88">
        <f>'Beat 61'!J18+'Beat 62'!J18</f>
        <v>7</v>
      </c>
      <c r="K18" s="88">
        <f>'Beat 61'!K18+'Beat 62'!K18</f>
        <v>3</v>
      </c>
      <c r="L18" s="52">
        <f t="shared" si="3"/>
        <v>-6</v>
      </c>
      <c r="M18" s="53">
        <f t="shared" si="1"/>
        <v>-2</v>
      </c>
      <c r="N18" s="18"/>
      <c r="P18">
        <f t="shared" si="4"/>
        <v>0.56639940070124661</v>
      </c>
      <c r="Q18">
        <f t="shared" si="4"/>
        <v>1.472638441823241</v>
      </c>
      <c r="R18">
        <f t="shared" si="4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5">SUM(C11:C18)</f>
        <v>0</v>
      </c>
      <c r="D19" s="12">
        <f t="shared" si="5"/>
        <v>1</v>
      </c>
      <c r="E19" s="43">
        <f>SUM(E11:E18)</f>
        <v>1.0901639344262295</v>
      </c>
      <c r="F19" s="104">
        <f t="shared" si="5"/>
        <v>3</v>
      </c>
      <c r="G19" s="12">
        <f t="shared" si="5"/>
        <v>8</v>
      </c>
      <c r="H19" s="43">
        <f>SUM(H11:H18)</f>
        <v>4.360655737704918</v>
      </c>
      <c r="I19" s="110">
        <f t="shared" si="5"/>
        <v>15</v>
      </c>
      <c r="J19" s="70">
        <f t="shared" si="5"/>
        <v>20</v>
      </c>
      <c r="K19" s="46">
        <f t="shared" si="5"/>
        <v>17</v>
      </c>
      <c r="L19" s="54">
        <f>(I19-J19)/J19</f>
        <v>-0.25</v>
      </c>
      <c r="M19" s="55">
        <f>(I19-K19)/K19</f>
        <v>-0.11764705882352941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595">
        <f>'Beat 61'!F21+'Beat 62'!F21</f>
        <v>0</v>
      </c>
      <c r="D21" s="2">
        <f>'Beat 61'!E21+'Beat 62'!E21</f>
        <v>0</v>
      </c>
      <c r="E21" s="42">
        <f t="shared" ref="E21:E29" si="6">H21/4</f>
        <v>0.49726775956284153</v>
      </c>
      <c r="F21" s="106">
        <f>'Beat 61'!G21+'Beat 62'!G21</f>
        <v>0</v>
      </c>
      <c r="G21" s="263">
        <f>'Previous 28 Days'!C8</f>
        <v>1</v>
      </c>
      <c r="H21" s="42">
        <f>'Beat 61'!H21+'Beat 62'!H21</f>
        <v>1.9890710382513661</v>
      </c>
      <c r="I21" s="596">
        <f>'Beat 61'!I21+'Beat 62'!I21</f>
        <v>1</v>
      </c>
      <c r="J21" s="88">
        <f>'Beat 61'!J21+'Beat 62'!J21</f>
        <v>9</v>
      </c>
      <c r="K21" s="88">
        <f>'Beat 61'!K21+'Beat 62'!K21</f>
        <v>5</v>
      </c>
      <c r="L21" s="52">
        <f>I21-J21</f>
        <v>-8</v>
      </c>
      <c r="M21" s="53">
        <f>I21-K21</f>
        <v>-4</v>
      </c>
      <c r="N21" s="18"/>
      <c r="P21">
        <f t="shared" ref="P21:P29" si="7">S21/2</f>
        <v>1.473800542546569</v>
      </c>
      <c r="Q21">
        <f t="shared" si="4"/>
        <v>3.3897412478571081</v>
      </c>
      <c r="R21">
        <f t="shared" si="4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595">
        <f>'Beat 61'!F22+'Beat 62'!F22</f>
        <v>1</v>
      </c>
      <c r="D22" s="2">
        <f>'Beat 61'!E22+'Beat 62'!E22</f>
        <v>2</v>
      </c>
      <c r="E22" s="42">
        <f t="shared" si="6"/>
        <v>3.2322404371584703</v>
      </c>
      <c r="F22" s="106">
        <f>'Beat 61'!G22+'Beat 62'!G22</f>
        <v>11</v>
      </c>
      <c r="G22" s="263">
        <f>'Previous 28 Days'!N8</f>
        <v>7</v>
      </c>
      <c r="H22" s="42">
        <f>'Beat 61'!H22+'Beat 62'!H22</f>
        <v>12.928961748633881</v>
      </c>
      <c r="I22" s="596">
        <f>'Beat 61'!I22+'Beat 62'!I22</f>
        <v>35</v>
      </c>
      <c r="J22" s="88">
        <f>'Beat 61'!J22+'Beat 62'!J22</f>
        <v>53</v>
      </c>
      <c r="K22" s="88">
        <f>'Beat 61'!K22+'Beat 62'!K22</f>
        <v>46</v>
      </c>
      <c r="L22" s="52">
        <f t="shared" ref="L22:L29" si="8">I22-J22</f>
        <v>-18</v>
      </c>
      <c r="M22" s="53">
        <f t="shared" ref="M22:M29" si="9">I22-K22</f>
        <v>-11</v>
      </c>
      <c r="N22" s="18"/>
      <c r="P22">
        <f t="shared" si="7"/>
        <v>2.4270810629602981</v>
      </c>
      <c r="Q22">
        <f t="shared" si="4"/>
        <v>5.5822864448086849</v>
      </c>
      <c r="R22">
        <f t="shared" si="4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595">
        <f>'Beat 61'!F23+'Beat 62'!F23</f>
        <v>0</v>
      </c>
      <c r="D23" s="2">
        <f>'Beat 61'!E23+'Beat 62'!E23</f>
        <v>0</v>
      </c>
      <c r="E23" s="42">
        <f>H23/4</f>
        <v>0.13387978142076501</v>
      </c>
      <c r="F23" s="106">
        <f>'Beat 61'!G23+'Beat 62'!G23</f>
        <v>0</v>
      </c>
      <c r="G23" s="263">
        <f>'Previous 28 Days'!L8</f>
        <v>1</v>
      </c>
      <c r="H23" s="42">
        <f>'Beat 61'!H23+'Beat 62'!H23</f>
        <v>0.53551912568306004</v>
      </c>
      <c r="I23" s="596">
        <f>'Beat 61'!I23+'Beat 62'!I23</f>
        <v>1</v>
      </c>
      <c r="J23" s="88">
        <f>'Beat 61'!J23+'Beat 62'!J23</f>
        <v>0</v>
      </c>
      <c r="K23" s="88">
        <f>'Beat 61'!K23+'Beat 62'!K23</f>
        <v>0</v>
      </c>
      <c r="L23" s="52">
        <f t="shared" si="8"/>
        <v>1</v>
      </c>
      <c r="M23" s="53">
        <f t="shared" si="9"/>
        <v>1</v>
      </c>
      <c r="N23" s="18"/>
      <c r="P23">
        <f t="shared" si="7"/>
        <v>0.39235772260004048</v>
      </c>
      <c r="Q23">
        <f t="shared" si="4"/>
        <v>0.90242276198009308</v>
      </c>
      <c r="R23">
        <f t="shared" si="4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595">
        <f>'Beat 61'!F24+'Beat 62'!F24</f>
        <v>5</v>
      </c>
      <c r="D24" s="2">
        <f>'Beat 61'!E24+'Beat 62'!E24</f>
        <v>1</v>
      </c>
      <c r="E24" s="42">
        <f t="shared" si="6"/>
        <v>2.2568306010928962</v>
      </c>
      <c r="F24" s="106">
        <f>'Beat 61'!G24+'Beat 62'!G24</f>
        <v>7</v>
      </c>
      <c r="G24" s="263">
        <f>'Previous 28 Days'!P8</f>
        <v>11</v>
      </c>
      <c r="H24" s="42">
        <f>'Beat 61'!H24+'Beat 62'!H24</f>
        <v>9.027322404371585</v>
      </c>
      <c r="I24" s="596">
        <f>'Beat 61'!I24+'Beat 62'!I24</f>
        <v>43</v>
      </c>
      <c r="J24" s="88">
        <f>'Beat 61'!J24+'Beat 62'!J24</f>
        <v>41</v>
      </c>
      <c r="K24" s="88">
        <f>'Beat 61'!K24+'Beat 62'!K24</f>
        <v>68</v>
      </c>
      <c r="L24" s="52">
        <f t="shared" si="8"/>
        <v>2</v>
      </c>
      <c r="M24" s="53">
        <f t="shared" si="9"/>
        <v>-25</v>
      </c>
      <c r="N24" s="18"/>
      <c r="P24">
        <f t="shared" si="7"/>
        <v>1.2876663896890932</v>
      </c>
      <c r="Q24">
        <f t="shared" si="4"/>
        <v>2.961632696284914</v>
      </c>
      <c r="R24">
        <f t="shared" si="4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595">
        <f>'Beat 61'!F25+'Beat 62'!F25</f>
        <v>0</v>
      </c>
      <c r="D25" s="2">
        <f>'Beat 61'!E25+'Beat 62'!E25</f>
        <v>2</v>
      </c>
      <c r="E25" s="42">
        <f>H25/4</f>
        <v>2.6775956284153004</v>
      </c>
      <c r="F25" s="106">
        <f>'Beat 61'!G25+'Beat 62'!G25</f>
        <v>12</v>
      </c>
      <c r="G25" s="263">
        <f>'Previous 28 Days'!G8</f>
        <v>17</v>
      </c>
      <c r="H25" s="42">
        <f>'Beat 61'!H25+'Beat 62'!H25</f>
        <v>10.710382513661202</v>
      </c>
      <c r="I25" s="596">
        <f>'Beat 61'!I25+'Beat 62'!I25</f>
        <v>52</v>
      </c>
      <c r="J25" s="88">
        <f>'Beat 61'!J25+'Beat 62'!J25</f>
        <v>39</v>
      </c>
      <c r="K25" s="88">
        <f>'Beat 61'!K25+'Beat 62'!K25</f>
        <v>22</v>
      </c>
      <c r="L25" s="52">
        <f t="shared" si="8"/>
        <v>13</v>
      </c>
      <c r="M25" s="53">
        <f t="shared" si="9"/>
        <v>30</v>
      </c>
      <c r="N25" s="18"/>
      <c r="P25">
        <f t="shared" si="7"/>
        <v>3.4208989471450435</v>
      </c>
      <c r="Q25">
        <f t="shared" si="4"/>
        <v>7.8680675784335996</v>
      </c>
      <c r="R25">
        <f t="shared" si="4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595">
        <f>'Beat 61'!F26+'Beat 62'!F26</f>
        <v>1</v>
      </c>
      <c r="D26" s="2">
        <f>'Beat 61'!E26+'Beat 62'!E26</f>
        <v>0</v>
      </c>
      <c r="E26" s="42">
        <f t="shared" si="6"/>
        <v>1.2814207650273224</v>
      </c>
      <c r="F26" s="106">
        <f>'Beat 61'!G26+'Beat 62'!G26</f>
        <v>5</v>
      </c>
      <c r="G26" s="263">
        <f>'Previous 28 Days'!I8</f>
        <v>3</v>
      </c>
      <c r="H26" s="42">
        <f>'Beat 61'!H26+'Beat 62'!H26</f>
        <v>5.1256830601092895</v>
      </c>
      <c r="I26" s="596">
        <f>'Beat 61'!I26+'Beat 62'!I26</f>
        <v>16</v>
      </c>
      <c r="J26" s="88">
        <f>'Beat 61'!J26+'Beat 62'!J26</f>
        <v>14</v>
      </c>
      <c r="K26" s="88">
        <f>'Beat 61'!K26+'Beat 62'!K26</f>
        <v>14</v>
      </c>
      <c r="L26" s="52">
        <f t="shared" si="8"/>
        <v>2</v>
      </c>
      <c r="M26" s="53">
        <f t="shared" si="9"/>
        <v>2</v>
      </c>
      <c r="N26" s="18"/>
      <c r="P26">
        <f t="shared" si="7"/>
        <v>2.1939653247270643</v>
      </c>
      <c r="Q26">
        <f t="shared" si="4"/>
        <v>5.0461202468722473</v>
      </c>
      <c r="R26">
        <f t="shared" si="4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">
      <c r="A27" s="19"/>
      <c r="B27" s="10" t="s">
        <v>67</v>
      </c>
      <c r="C27" s="595">
        <f>'Beat 61'!F27+'Beat 62'!F27</f>
        <v>1</v>
      </c>
      <c r="D27" s="2">
        <f>'Beat 61'!E27+'Beat 62'!E27</f>
        <v>3</v>
      </c>
      <c r="E27" s="42">
        <f>H27/4</f>
        <v>1.4918032786885247</v>
      </c>
      <c r="F27" s="106">
        <f>'Beat 61'!G27+'Beat 62'!G27</f>
        <v>8</v>
      </c>
      <c r="G27" s="263">
        <f>'Previous 28 Days'!H8</f>
        <v>6</v>
      </c>
      <c r="H27" s="42">
        <f>'Beat 61'!H27+'Beat 62'!H27</f>
        <v>5.9672131147540988</v>
      </c>
      <c r="I27" s="596">
        <f>'Beat 61'!I27+'Beat 62'!I27</f>
        <v>23</v>
      </c>
      <c r="J27" s="88">
        <f>'Beat 61'!J27+'Beat 62'!J27</f>
        <v>27</v>
      </c>
      <c r="K27" s="88">
        <f>'Beat 61'!K27+'Beat 62'!K27</f>
        <v>24</v>
      </c>
      <c r="L27" s="52">
        <f t="shared" si="8"/>
        <v>-4</v>
      </c>
      <c r="M27" s="53">
        <f t="shared" si="9"/>
        <v>-1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">
      <c r="A28" s="19"/>
      <c r="B28" s="10" t="s">
        <v>34</v>
      </c>
      <c r="C28" s="595">
        <f>'Beat 61'!F28+'Beat 62'!F28</f>
        <v>0</v>
      </c>
      <c r="D28" s="2">
        <f>'Beat 61'!E28+'Beat 62'!E28</f>
        <v>0</v>
      </c>
      <c r="E28" s="42">
        <f t="shared" si="6"/>
        <v>0.28688524590163933</v>
      </c>
      <c r="F28" s="106">
        <f>'Beat 61'!G28+'Beat 62'!G28</f>
        <v>2</v>
      </c>
      <c r="G28" s="263">
        <f>'Previous 28 Days'!K8</f>
        <v>3</v>
      </c>
      <c r="H28" s="42">
        <f>'Beat 61'!H28+'Beat 62'!H28</f>
        <v>1.1475409836065573</v>
      </c>
      <c r="I28" s="596">
        <f>'Beat 61'!I28+'Beat 62'!I28</f>
        <v>6</v>
      </c>
      <c r="J28" s="88">
        <f>'Beat 61'!J28+'Beat 62'!J28</f>
        <v>2</v>
      </c>
      <c r="K28" s="88">
        <f>'Beat 61'!K28+'Beat 62'!K28</f>
        <v>2</v>
      </c>
      <c r="L28" s="52">
        <f t="shared" si="8"/>
        <v>4</v>
      </c>
      <c r="M28" s="53">
        <f t="shared" si="9"/>
        <v>4</v>
      </c>
      <c r="N28" s="18"/>
      <c r="P28">
        <f t="shared" si="7"/>
        <v>0.58279031365955225</v>
      </c>
      <c r="Q28">
        <f t="shared" si="4"/>
        <v>1.3404177214169701</v>
      </c>
      <c r="R28">
        <f t="shared" si="4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595">
        <f>'Beat 61'!F29+'Beat 62'!F29</f>
        <v>0</v>
      </c>
      <c r="D29" s="2">
        <f>'Beat 61'!E29+'Beat 62'!E29</f>
        <v>1</v>
      </c>
      <c r="E29" s="42">
        <f t="shared" si="6"/>
        <v>0.93715846994535523</v>
      </c>
      <c r="F29" s="106">
        <f>'Beat 61'!G29+'Beat 62'!G29</f>
        <v>1</v>
      </c>
      <c r="G29" s="263">
        <f>'Previous 28 Days'!B8</f>
        <v>1</v>
      </c>
      <c r="H29" s="42">
        <f>'Beat 61'!H29+'Beat 62'!H29</f>
        <v>3.7486338797814209</v>
      </c>
      <c r="I29" s="596">
        <f>'Beat 61'!I29+'Beat 62'!I29</f>
        <v>11</v>
      </c>
      <c r="J29" s="88">
        <f>'Beat 61'!J29+'Beat 62'!J29</f>
        <v>13</v>
      </c>
      <c r="K29" s="88">
        <f>'Beat 61'!K29+'Beat 62'!K29</f>
        <v>8</v>
      </c>
      <c r="L29" s="52">
        <f t="shared" si="8"/>
        <v>-2</v>
      </c>
      <c r="M29" s="53">
        <f t="shared" si="9"/>
        <v>3</v>
      </c>
      <c r="N29" s="18"/>
      <c r="P29">
        <f t="shared" si="7"/>
        <v>1.4796440114012464</v>
      </c>
      <c r="Q29">
        <f t="shared" si="4"/>
        <v>3.4031812262228662</v>
      </c>
      <c r="R29">
        <f t="shared" si="4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">
      <c r="A30" s="19"/>
      <c r="B30" s="14" t="s">
        <v>5</v>
      </c>
      <c r="C30" s="108">
        <f t="shared" ref="C30:K30" si="10">SUM(C21:C29)</f>
        <v>8</v>
      </c>
      <c r="D30" s="13">
        <f t="shared" si="10"/>
        <v>9</v>
      </c>
      <c r="E30" s="69">
        <f t="shared" si="10"/>
        <v>12.795081967213115</v>
      </c>
      <c r="F30" s="108">
        <f t="shared" si="10"/>
        <v>46</v>
      </c>
      <c r="G30" s="13">
        <f t="shared" si="10"/>
        <v>50</v>
      </c>
      <c r="H30" s="69">
        <f t="shared" si="10"/>
        <v>51.180327868852459</v>
      </c>
      <c r="I30" s="109">
        <f t="shared" si="10"/>
        <v>188</v>
      </c>
      <c r="J30" s="13">
        <f t="shared" si="10"/>
        <v>198</v>
      </c>
      <c r="K30" s="47">
        <f t="shared" si="10"/>
        <v>189</v>
      </c>
      <c r="L30" s="54">
        <f>(I30-J30)/J30</f>
        <v>-5.0505050505050504E-2</v>
      </c>
      <c r="M30" s="55">
        <f>(I30-K30)/K30</f>
        <v>-5.2910052910052907E-3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5" thickBot="1" x14ac:dyDescent="0.25">
      <c r="A31" s="19"/>
      <c r="B31" s="11" t="s">
        <v>6</v>
      </c>
      <c r="C31" s="104">
        <f>C30+C19</f>
        <v>8</v>
      </c>
      <c r="D31" s="12">
        <f>D30+D19</f>
        <v>10</v>
      </c>
      <c r="E31" s="68">
        <f t="shared" ref="E31:K31" si="11">E30+E19</f>
        <v>13.885245901639344</v>
      </c>
      <c r="F31" s="104">
        <f t="shared" si="11"/>
        <v>49</v>
      </c>
      <c r="G31" s="12">
        <f t="shared" si="11"/>
        <v>58</v>
      </c>
      <c r="H31" s="68">
        <f t="shared" si="11"/>
        <v>55.540983606557376</v>
      </c>
      <c r="I31" s="107">
        <f t="shared" si="11"/>
        <v>203</v>
      </c>
      <c r="J31" s="12">
        <f t="shared" si="11"/>
        <v>218</v>
      </c>
      <c r="K31" s="46">
        <f t="shared" si="11"/>
        <v>206</v>
      </c>
      <c r="L31" s="54">
        <f>(I31-J31)/J31</f>
        <v>-6.8807339449541288E-2</v>
      </c>
      <c r="M31" s="55">
        <f>(I31-K31)/K31</f>
        <v>-1.4563106796116505E-2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-15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L35" s="28"/>
      <c r="M35" s="51"/>
    </row>
    <row r="36" spans="1:14" ht="13.5" thickBot="1" x14ac:dyDescent="0.25">
      <c r="B36" s="291" t="s">
        <v>199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233</v>
      </c>
      <c r="D40" s="250" t="s">
        <v>222</v>
      </c>
      <c r="E40" s="96" t="s">
        <v>181</v>
      </c>
      <c r="F40" s="95" t="s">
        <v>234</v>
      </c>
      <c r="G40" s="253">
        <v>42826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service'!G6</f>
        <v>25</v>
      </c>
      <c r="D41" s="89">
        <f>+'Calls for service'!G14</f>
        <v>33</v>
      </c>
      <c r="E41" s="66">
        <f>+'Calls for service'!G30</f>
        <v>34.443835616438356</v>
      </c>
      <c r="F41" s="71">
        <f>+'Calls for service'!Q6</f>
        <v>110</v>
      </c>
      <c r="G41" s="71">
        <f>+'Calls for service'!Q14</f>
        <v>133</v>
      </c>
      <c r="H41" s="66">
        <f>+'Calls for service'!Q30</f>
        <v>137.77534246575343</v>
      </c>
      <c r="I41" s="71">
        <f>+'Calls for service'!AA22</f>
        <v>527</v>
      </c>
      <c r="J41" s="71">
        <f>+'Calls for service'!AA14</f>
        <v>522</v>
      </c>
      <c r="K41" s="66">
        <f>+'Calls for service'!AA30</f>
        <v>0</v>
      </c>
      <c r="L41" s="91">
        <f>+I41-J41</f>
        <v>5</v>
      </c>
      <c r="M41" s="56">
        <f>+I41-K41</f>
        <v>527</v>
      </c>
      <c r="N41" s="18"/>
    </row>
    <row r="42" spans="1:14" x14ac:dyDescent="0.2">
      <c r="A42" s="19"/>
      <c r="B42" s="10" t="s">
        <v>52</v>
      </c>
      <c r="C42" s="90">
        <f>+'Calls for service'!G5</f>
        <v>90</v>
      </c>
      <c r="D42" s="90">
        <f>+'Calls for service'!G13</f>
        <v>109</v>
      </c>
      <c r="E42" s="67">
        <f>+'Calls for service'!G29</f>
        <v>100.72328767123288</v>
      </c>
      <c r="F42" s="71">
        <f>+'Calls for service'!Q5</f>
        <v>387</v>
      </c>
      <c r="G42" s="71">
        <f>+'Calls for service'!Q13</f>
        <v>392</v>
      </c>
      <c r="H42" s="67">
        <f>+'Calls for service'!Q29</f>
        <v>402.89315068493153</v>
      </c>
      <c r="I42" s="71">
        <f>+'Calls for service'!AA21</f>
        <v>1653</v>
      </c>
      <c r="J42" s="71">
        <f>+'Calls for service'!AA13</f>
        <v>1571</v>
      </c>
      <c r="K42" s="67">
        <f>+'Calls for service'!AA29</f>
        <v>0</v>
      </c>
      <c r="L42" s="76">
        <f>+I42-J42</f>
        <v>82</v>
      </c>
      <c r="M42" s="53">
        <f>+I42-K42</f>
        <v>1653</v>
      </c>
      <c r="N42" s="18"/>
    </row>
    <row r="43" spans="1:14" x14ac:dyDescent="0.2">
      <c r="A43" s="19"/>
      <c r="B43" s="10" t="s">
        <v>53</v>
      </c>
      <c r="C43" s="90">
        <f>+'Calls for service'!G4</f>
        <v>93</v>
      </c>
      <c r="D43" s="90">
        <f>+'Calls for service'!G12</f>
        <v>113</v>
      </c>
      <c r="E43" s="67">
        <f>+'Calls for service'!G28</f>
        <v>101.68219178082191</v>
      </c>
      <c r="F43" s="71">
        <f>+'Calls for service'!Q4</f>
        <v>380</v>
      </c>
      <c r="G43" s="71">
        <f>+'Calls for service'!Q12</f>
        <v>360</v>
      </c>
      <c r="H43" s="67">
        <f>+'Calls for service'!Q28</f>
        <v>406.72876712328764</v>
      </c>
      <c r="I43" s="71">
        <f>+'Calls for service'!AA20</f>
        <v>1520</v>
      </c>
      <c r="J43" s="71">
        <f>+'Calls for service'!AA12</f>
        <v>1618</v>
      </c>
      <c r="K43" s="67">
        <f>+'Calls for service'!AA28</f>
        <v>0</v>
      </c>
      <c r="L43" s="76">
        <f>+I43-J43</f>
        <v>-98</v>
      </c>
      <c r="M43" s="53">
        <f>+I43-K43</f>
        <v>1520</v>
      </c>
      <c r="N43" s="18"/>
    </row>
    <row r="44" spans="1:14" ht="13.5" thickBot="1" x14ac:dyDescent="0.25">
      <c r="A44" s="19"/>
      <c r="B44" s="11" t="s">
        <v>54</v>
      </c>
      <c r="C44" s="87">
        <f>SUM(C41:C43)</f>
        <v>208</v>
      </c>
      <c r="D44" s="340">
        <f>SUM(D41:D43)</f>
        <v>255</v>
      </c>
      <c r="E44" s="69">
        <f t="shared" ref="E44:H44" si="12">SUM(E41:E43)</f>
        <v>236.84931506849315</v>
      </c>
      <c r="F44" s="329">
        <f>SUM(F41:F43)</f>
        <v>877</v>
      </c>
      <c r="G44" s="47">
        <f t="shared" si="12"/>
        <v>885</v>
      </c>
      <c r="H44" s="69">
        <f t="shared" si="12"/>
        <v>947.39726027397262</v>
      </c>
      <c r="I44" s="329">
        <f>SUM(I41:I43)</f>
        <v>3700</v>
      </c>
      <c r="J44" s="329">
        <f>SUM(J41:J43)</f>
        <v>3711</v>
      </c>
      <c r="K44" s="338">
        <f>SUM(K41:K43)</f>
        <v>0</v>
      </c>
      <c r="L44" s="339">
        <f>+(I44-J44)/J44</f>
        <v>-2.9641606036108865E-3</v>
      </c>
      <c r="M44" s="331" t="e">
        <f>+(I44-K44)/K44</f>
        <v>#DIV/0!</v>
      </c>
      <c r="N44" s="18"/>
    </row>
    <row r="45" spans="1:14" s="215" customFormat="1" x14ac:dyDescent="0.2">
      <c r="A45" s="19"/>
      <c r="B45" s="343" t="s">
        <v>75</v>
      </c>
      <c r="C45" s="488">
        <f>'Beat 61'!F41+'Beat 62'!F41</f>
        <v>0</v>
      </c>
      <c r="D45" s="489">
        <f>'Beat 61'!E41+'Beat 62'!E41</f>
        <v>0</v>
      </c>
      <c r="E45" s="334">
        <f>H45/4</f>
        <v>0</v>
      </c>
      <c r="F45" s="486">
        <f>'Beat 51'!G41+'Beat 52'!G41+'Beat 53'!G41+'Beat 54'!G41+'Beat 55'!G41+'Beat 56'!G41</f>
        <v>5</v>
      </c>
      <c r="G45" s="332">
        <f>'Previous 28 Days'!B19</f>
        <v>0</v>
      </c>
      <c r="H45" s="498">
        <f>'Beat 61'!H41+'Beat 62'!H41</f>
        <v>0</v>
      </c>
      <c r="I45" s="336">
        <f>'Beat 61'!I41+'Beat 62'!I41</f>
        <v>0</v>
      </c>
      <c r="J45" s="332">
        <f>'Beat 61'!J41+'Beat 62'!J41</f>
        <v>0</v>
      </c>
      <c r="K45" s="597">
        <f>'Beat 61'!K41+'Beat 62'!K41</f>
        <v>0</v>
      </c>
      <c r="L45" s="336">
        <f>I45-J45</f>
        <v>0</v>
      </c>
      <c r="M45" s="333">
        <f>I45-K45</f>
        <v>0</v>
      </c>
      <c r="N45" s="216"/>
    </row>
    <row r="46" spans="1:14" ht="13.5" thickBot="1" x14ac:dyDescent="0.25">
      <c r="A46" s="19"/>
      <c r="B46" s="344" t="s">
        <v>76</v>
      </c>
      <c r="C46" s="490">
        <f>'Beat 61'!F42+'Beat 62'!F42</f>
        <v>3</v>
      </c>
      <c r="D46" s="480">
        <f>'Beat 61'!E42+'Beat 62'!E42</f>
        <v>5</v>
      </c>
      <c r="E46" s="335">
        <f>H46/4</f>
        <v>4.5710382513661205</v>
      </c>
      <c r="F46" s="348">
        <f>'Beat 51'!G42+'Beat 52'!G42+'Beat 53'!G42+'Beat 54'!G42+'Beat 55'!G42+'Beat 56'!G42</f>
        <v>42</v>
      </c>
      <c r="G46" s="298">
        <f>'Previous 28 Days'!C19</f>
        <v>18</v>
      </c>
      <c r="H46" s="499">
        <f>'Beat 61'!H42+'Beat 62'!H42</f>
        <v>18.284153005464482</v>
      </c>
      <c r="I46" s="348">
        <f>'Beat 61'!I42+'Beat 62'!I42</f>
        <v>76</v>
      </c>
      <c r="J46" s="480">
        <f>'Beat 61'!J42+'Beat 62'!J42</f>
        <v>69</v>
      </c>
      <c r="K46" s="598">
        <f>'Beat 61'!K42+'Beat 62'!K42</f>
        <v>55</v>
      </c>
      <c r="L46" s="337">
        <f>I46-J46</f>
        <v>7</v>
      </c>
      <c r="M46" s="328">
        <f>I46-K46</f>
        <v>21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conditionalFormatting sqref="L32:M32 M47">
    <cfRule type="cellIs" dxfId="16" priority="7" stopIfTrue="1" operator="greaterThan">
      <formula>0</formula>
    </cfRule>
  </conditionalFormatting>
  <conditionalFormatting sqref="C11 C21:C29">
    <cfRule type="cellIs" dxfId="15" priority="8" stopIfTrue="1" operator="greaterThan">
      <formula>E11+P11</formula>
    </cfRule>
    <cfRule type="cellIs" dxfId="14" priority="9" stopIfTrue="1" operator="lessThan">
      <formula>E11-P11</formula>
    </cfRule>
  </conditionalFormatting>
  <conditionalFormatting sqref="F11 F21:F29">
    <cfRule type="cellIs" dxfId="13" priority="10" stopIfTrue="1" operator="greaterThan">
      <formula>H11+Q11</formula>
    </cfRule>
    <cfRule type="cellIs" dxfId="12" priority="11" stopIfTrue="1" operator="lessThan">
      <formula>H11-Q11</formula>
    </cfRule>
  </conditionalFormatting>
  <conditionalFormatting sqref="I11 I21:I29">
    <cfRule type="cellIs" dxfId="11" priority="12" stopIfTrue="1" operator="greaterThan">
      <formula>J11+R11</formula>
    </cfRule>
    <cfRule type="cellIs" dxfId="10" priority="13" stopIfTrue="1" operator="lessThan">
      <formula>J11-R11</formula>
    </cfRule>
  </conditionalFormatting>
  <conditionalFormatting sqref="C12:C18">
    <cfRule type="cellIs" dxfId="9" priority="5" stopIfTrue="1" operator="greaterThan">
      <formula>E12+P12</formula>
    </cfRule>
    <cfRule type="cellIs" dxfId="8" priority="6" stopIfTrue="1" operator="lessThan">
      <formula>E12-P12</formula>
    </cfRule>
  </conditionalFormatting>
  <conditionalFormatting sqref="F12:F18">
    <cfRule type="cellIs" dxfId="7" priority="3" stopIfTrue="1" operator="greaterThan">
      <formula>H12+Q12</formula>
    </cfRule>
    <cfRule type="cellIs" dxfId="6" priority="4" stopIfTrue="1" operator="lessThan">
      <formula>H12-Q12</formula>
    </cfRule>
  </conditionalFormatting>
  <conditionalFormatting sqref="I12:I18">
    <cfRule type="cellIs" dxfId="5" priority="1" stopIfTrue="1" operator="greaterThan">
      <formula>J12+R12</formula>
    </cfRule>
    <cfRule type="cellIs" dxfId="4" priority="2" stopIfTrue="1" operator="lessThan">
      <formula>J12-R12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topLeftCell="A15" zoomScaleNormal="100" workbookViewId="0">
      <selection activeCell="J30" sqref="J3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225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226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ago'!F38</f>
        <v>0</v>
      </c>
      <c r="D11" s="401">
        <f>'3 weeks ago'!F38</f>
        <v>0</v>
      </c>
      <c r="E11" s="402">
        <f>'Previous Week'!F38</f>
        <v>0</v>
      </c>
      <c r="F11" s="555">
        <f>'Last Week'!F38</f>
        <v>0</v>
      </c>
      <c r="G11" s="452">
        <f>SUM(C11:F11)</f>
        <v>0</v>
      </c>
      <c r="H11" s="491">
        <f>'2016 Data'!F68</f>
        <v>0</v>
      </c>
      <c r="I11" s="557">
        <f>'YTD 2017'!F38</f>
        <v>2</v>
      </c>
      <c r="J11" s="556">
        <f>'YTD 2016'!F38</f>
        <v>0</v>
      </c>
      <c r="K11" s="556">
        <f>'YTD 2015'!F38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198</v>
      </c>
      <c r="C12" s="401">
        <f>'4 weeks ago'!M38</f>
        <v>0</v>
      </c>
      <c r="D12" s="401">
        <f>'3 weeks ago'!M38</f>
        <v>0</v>
      </c>
      <c r="E12" s="402">
        <f>'Previous Week'!M38</f>
        <v>0</v>
      </c>
      <c r="F12" s="555">
        <f>'Last Week'!M38</f>
        <v>0</v>
      </c>
      <c r="G12" s="452">
        <f t="shared" ref="G12:G18" si="2">SUM(C12:F12)</f>
        <v>0</v>
      </c>
      <c r="H12" s="491">
        <f>'2016 Data'!M68</f>
        <v>0</v>
      </c>
      <c r="I12" s="557">
        <f>'YTD 2017'!M38</f>
        <v>0</v>
      </c>
      <c r="J12" s="556">
        <f>'YTD 2016'!M38</f>
        <v>0</v>
      </c>
      <c r="K12" s="556">
        <f>'YTD 2015'!M38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6">
        <f>'New Rapes'!E41</f>
        <v>0</v>
      </c>
      <c r="D13" s="556">
        <f>'New Rapes'!D41</f>
        <v>0</v>
      </c>
      <c r="E13" s="555">
        <f>'New Rapes'!C41</f>
        <v>0</v>
      </c>
      <c r="F13" s="555">
        <f>'New Rapes'!B41</f>
        <v>0</v>
      </c>
      <c r="G13" s="452">
        <f t="shared" si="2"/>
        <v>0</v>
      </c>
      <c r="H13" s="576">
        <v>0.15300546448087432</v>
      </c>
      <c r="I13" s="557">
        <f>'New Rapes'!G41</f>
        <v>0</v>
      </c>
      <c r="J13" s="556">
        <f>'New Rapes'!H41</f>
        <v>1</v>
      </c>
      <c r="K13" s="556">
        <f>'New Rapes'!I41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ago'!D38</f>
        <v>0</v>
      </c>
      <c r="D14" s="401">
        <f>'3 weeks ago'!D38</f>
        <v>0</v>
      </c>
      <c r="E14" s="402">
        <f>'Previous Week'!D38</f>
        <v>0</v>
      </c>
      <c r="F14" s="555">
        <f>'Last Week'!D38</f>
        <v>0</v>
      </c>
      <c r="G14" s="452">
        <f t="shared" si="2"/>
        <v>0</v>
      </c>
      <c r="H14" s="491">
        <f>'2016 Data'!D68</f>
        <v>7.650273224043716E-2</v>
      </c>
      <c r="I14" s="557">
        <f>'YTD 2017'!D38</f>
        <v>0</v>
      </c>
      <c r="J14" s="556">
        <f>'YTD 2016'!D38</f>
        <v>1</v>
      </c>
      <c r="K14" s="556">
        <f>'YTD 2015'!D38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ago'!Q38</f>
        <v>0</v>
      </c>
      <c r="D15" s="401">
        <f>'3 weeks ago'!Q38</f>
        <v>0</v>
      </c>
      <c r="E15" s="402">
        <f>'Previous Week'!Q38</f>
        <v>0</v>
      </c>
      <c r="F15" s="555">
        <f>'Last Week'!Q38</f>
        <v>0</v>
      </c>
      <c r="G15" s="452">
        <f t="shared" si="2"/>
        <v>0</v>
      </c>
      <c r="H15" s="491">
        <f>'2016 Data'!Q68</f>
        <v>0.22950819672131148</v>
      </c>
      <c r="I15" s="557">
        <f>'YTD 2017'!Q38</f>
        <v>2</v>
      </c>
      <c r="J15" s="556">
        <f>'YTD 2016'!Q38</f>
        <v>0</v>
      </c>
      <c r="K15" s="556">
        <f>'YTD 2015'!Q38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ago'!O38</f>
        <v>0</v>
      </c>
      <c r="D16" s="401">
        <f>'3 weeks ago'!O38</f>
        <v>0</v>
      </c>
      <c r="E16" s="402">
        <f>'Previous Week'!O38</f>
        <v>0</v>
      </c>
      <c r="F16" s="555">
        <f>'Last Week'!O38</f>
        <v>0</v>
      </c>
      <c r="G16" s="452">
        <f t="shared" si="2"/>
        <v>0</v>
      </c>
      <c r="H16" s="491">
        <f>'2016 Data'!O68</f>
        <v>0</v>
      </c>
      <c r="I16" s="557">
        <f>'YTD 2017'!O38</f>
        <v>0</v>
      </c>
      <c r="J16" s="556">
        <f>'YTD 2016'!O38</f>
        <v>0</v>
      </c>
      <c r="K16" s="556">
        <f>'YTD 2015'!O38</f>
        <v>3</v>
      </c>
      <c r="L16" s="404">
        <f t="shared" si="0"/>
        <v>0</v>
      </c>
      <c r="M16" s="407">
        <f t="shared" si="1"/>
        <v>-3</v>
      </c>
      <c r="N16" s="380"/>
    </row>
    <row r="17" spans="1:14" x14ac:dyDescent="0.25">
      <c r="A17" s="375"/>
      <c r="B17" s="406" t="s">
        <v>40</v>
      </c>
      <c r="C17" s="401">
        <f>'4 weeks ago'!E38</f>
        <v>0</v>
      </c>
      <c r="D17" s="401">
        <f>'3 weeks ago'!E38</f>
        <v>0</v>
      </c>
      <c r="E17" s="402">
        <f>'Previous Week'!E38</f>
        <v>0</v>
      </c>
      <c r="F17" s="555">
        <f>'Last Week'!E38</f>
        <v>0</v>
      </c>
      <c r="G17" s="452">
        <f t="shared" si="2"/>
        <v>0</v>
      </c>
      <c r="H17" s="491">
        <f>'2016 Data'!E68</f>
        <v>0.22950819672131148</v>
      </c>
      <c r="I17" s="557">
        <f>'YTD 2017'!E38</f>
        <v>1</v>
      </c>
      <c r="J17" s="556">
        <f>'YTD 2016'!E38</f>
        <v>2</v>
      </c>
      <c r="K17" s="556">
        <f>'YTD 2015'!E38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ago'!J38</f>
        <v>0</v>
      </c>
      <c r="D18" s="401">
        <f>'3 weeks ago'!J38</f>
        <v>0</v>
      </c>
      <c r="E18" s="402">
        <f>'Previous Week'!J38</f>
        <v>0</v>
      </c>
      <c r="F18" s="555">
        <f>'Last Week'!J38</f>
        <v>0</v>
      </c>
      <c r="G18" s="452">
        <f t="shared" si="2"/>
        <v>0</v>
      </c>
      <c r="H18" s="491">
        <f>'2016 Data'!J68</f>
        <v>0.45901639344262296</v>
      </c>
      <c r="I18" s="557">
        <f>'YTD 2017'!J38</f>
        <v>0</v>
      </c>
      <c r="J18" s="401">
        <f>'YTD 2016'!J38</f>
        <v>3</v>
      </c>
      <c r="K18" s="556">
        <f>'YTD 2015'!J38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0</v>
      </c>
      <c r="E19" s="409">
        <f t="shared" si="3"/>
        <v>0</v>
      </c>
      <c r="F19" s="410">
        <f t="shared" si="3"/>
        <v>0</v>
      </c>
      <c r="G19" s="453">
        <f t="shared" si="3"/>
        <v>0</v>
      </c>
      <c r="H19" s="492">
        <f t="shared" si="3"/>
        <v>1.1475409836065573</v>
      </c>
      <c r="I19" s="411">
        <f t="shared" si="3"/>
        <v>5</v>
      </c>
      <c r="J19" s="409">
        <f t="shared" si="3"/>
        <v>7</v>
      </c>
      <c r="K19" s="409">
        <f t="shared" si="3"/>
        <v>8</v>
      </c>
      <c r="L19" s="412">
        <f>(I19-J19)/J19</f>
        <v>-0.2857142857142857</v>
      </c>
      <c r="M19" s="413">
        <f>(I19-K19)/K19</f>
        <v>-0.375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ago'!C38</f>
        <v>0</v>
      </c>
      <c r="D21" s="401">
        <f>'3 weeks ago'!C38</f>
        <v>0</v>
      </c>
      <c r="E21" s="402">
        <f>'Previous Week'!C38</f>
        <v>0</v>
      </c>
      <c r="F21" s="555">
        <f>'Last Week'!C38</f>
        <v>0</v>
      </c>
      <c r="G21" s="452">
        <f t="shared" ref="G21:G29" si="4">SUM(C21:F21)</f>
        <v>0</v>
      </c>
      <c r="H21" s="491">
        <f>'2016 Data'!C68</f>
        <v>0.76502732240437155</v>
      </c>
      <c r="I21" s="593">
        <f>'YTD 2017'!C38</f>
        <v>0</v>
      </c>
      <c r="J21" s="401">
        <f>'YTD 2016'!C38</f>
        <v>3</v>
      </c>
      <c r="K21" s="556">
        <f>'YTD 2015'!C38</f>
        <v>2</v>
      </c>
      <c r="L21" s="404">
        <f t="shared" ref="L21:L29" si="5">I21-J21</f>
        <v>-3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ago'!N38</f>
        <v>1</v>
      </c>
      <c r="D22" s="401">
        <f>'3 weeks ago'!N38</f>
        <v>1</v>
      </c>
      <c r="E22" s="402">
        <f>'Previous Week'!N38</f>
        <v>0</v>
      </c>
      <c r="F22" s="555">
        <f>'Last Week'!N38</f>
        <v>0</v>
      </c>
      <c r="G22" s="452">
        <f t="shared" si="4"/>
        <v>2</v>
      </c>
      <c r="H22" s="491">
        <f>'2016 Data'!N68</f>
        <v>4.2841530054644812</v>
      </c>
      <c r="I22" s="594">
        <f>'YTD 2017'!N38</f>
        <v>17</v>
      </c>
      <c r="J22" s="401">
        <f>'YTD 2016'!N38</f>
        <v>16</v>
      </c>
      <c r="K22" s="556">
        <f>'YTD 2015'!N38</f>
        <v>19</v>
      </c>
      <c r="L22" s="404">
        <f t="shared" si="5"/>
        <v>1</v>
      </c>
      <c r="M22" s="407">
        <f t="shared" ref="M22:M29" si="6">I22-K22</f>
        <v>-2</v>
      </c>
      <c r="N22" s="380"/>
    </row>
    <row r="23" spans="1:14" x14ac:dyDescent="0.25">
      <c r="A23" s="375"/>
      <c r="B23" s="417" t="s">
        <v>62</v>
      </c>
      <c r="C23" s="401">
        <f>'4 weeks ago'!L38</f>
        <v>0</v>
      </c>
      <c r="D23" s="401">
        <f>'3 weeks ago'!L38</f>
        <v>0</v>
      </c>
      <c r="E23" s="402">
        <f>'Previous Week'!L38</f>
        <v>0</v>
      </c>
      <c r="F23" s="555">
        <f>'Last Week'!L38</f>
        <v>0</v>
      </c>
      <c r="G23" s="418">
        <f t="shared" si="4"/>
        <v>0</v>
      </c>
      <c r="H23" s="491">
        <f>'2016 Data'!L68</f>
        <v>0.15300546448087432</v>
      </c>
      <c r="I23" s="594">
        <f>'YTD 2017'!L38</f>
        <v>0</v>
      </c>
      <c r="J23" s="401">
        <f>'YTD 2016'!L38</f>
        <v>0</v>
      </c>
      <c r="K23" s="556">
        <f>'YTD 2015'!L38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ago'!P38</f>
        <v>0</v>
      </c>
      <c r="D24" s="401">
        <f>'3 weeks ago'!P38</f>
        <v>0</v>
      </c>
      <c r="E24" s="402">
        <f>'Previous Week'!P38</f>
        <v>1</v>
      </c>
      <c r="F24" s="555">
        <f>'Last Week'!P38</f>
        <v>5</v>
      </c>
      <c r="G24" s="403">
        <f t="shared" si="4"/>
        <v>6</v>
      </c>
      <c r="H24" s="491">
        <f>'2016 Data'!P68</f>
        <v>7.7267759562841523</v>
      </c>
      <c r="I24" s="594">
        <f>'YTD 2017'!P38</f>
        <v>40</v>
      </c>
      <c r="J24" s="401">
        <f>'YTD 2016'!P38</f>
        <v>33</v>
      </c>
      <c r="K24" s="556">
        <f>'YTD 2015'!P38</f>
        <v>62</v>
      </c>
      <c r="L24" s="404">
        <f t="shared" si="5"/>
        <v>7</v>
      </c>
      <c r="M24" s="407">
        <f t="shared" si="6"/>
        <v>-22</v>
      </c>
      <c r="N24" s="380"/>
    </row>
    <row r="25" spans="1:14" x14ac:dyDescent="0.25">
      <c r="A25" s="375"/>
      <c r="B25" s="406" t="s">
        <v>7</v>
      </c>
      <c r="C25" s="401">
        <f>'4 weeks ago'!G38</f>
        <v>3</v>
      </c>
      <c r="D25" s="401">
        <f>'3 weeks ago'!G38</f>
        <v>2</v>
      </c>
      <c r="E25" s="402">
        <f>'Previous Week'!G38</f>
        <v>1</v>
      </c>
      <c r="F25" s="555">
        <f>'Last Week'!G38</f>
        <v>0</v>
      </c>
      <c r="G25" s="403">
        <f t="shared" si="4"/>
        <v>6</v>
      </c>
      <c r="H25" s="491">
        <f>'2016 Data'!G68</f>
        <v>5.6612021857923498</v>
      </c>
      <c r="I25" s="594">
        <f>'YTD 2017'!G38</f>
        <v>24</v>
      </c>
      <c r="J25" s="401">
        <f>'YTD 2016'!G38</f>
        <v>22</v>
      </c>
      <c r="K25" s="556">
        <f>'YTD 2015'!G38</f>
        <v>7</v>
      </c>
      <c r="L25" s="404">
        <f t="shared" si="5"/>
        <v>2</v>
      </c>
      <c r="M25" s="407">
        <f t="shared" si="6"/>
        <v>17</v>
      </c>
      <c r="N25" s="380"/>
    </row>
    <row r="26" spans="1:14" x14ac:dyDescent="0.25">
      <c r="A26" s="375"/>
      <c r="B26" s="406" t="s">
        <v>68</v>
      </c>
      <c r="C26" s="401">
        <f>'4 weeks ago'!I38</f>
        <v>1</v>
      </c>
      <c r="D26" s="401">
        <f>'3 weeks ago'!I38</f>
        <v>1</v>
      </c>
      <c r="E26" s="402">
        <f>'Previous Week'!I38</f>
        <v>0</v>
      </c>
      <c r="F26" s="555">
        <f>'Last Week'!I38</f>
        <v>0</v>
      </c>
      <c r="G26" s="452">
        <f t="shared" si="4"/>
        <v>2</v>
      </c>
      <c r="H26" s="491">
        <f>'2016 Data'!I68</f>
        <v>2.8306010928961749</v>
      </c>
      <c r="I26" s="594">
        <f>'YTD 2017'!I38</f>
        <v>9</v>
      </c>
      <c r="J26" s="401">
        <f>'YTD 2016'!I38</f>
        <v>7</v>
      </c>
      <c r="K26" s="556">
        <f>'YTD 2015'!I38</f>
        <v>5</v>
      </c>
      <c r="L26" s="404">
        <f t="shared" si="5"/>
        <v>2</v>
      </c>
      <c r="M26" s="407">
        <f t="shared" si="6"/>
        <v>4</v>
      </c>
      <c r="N26" s="380"/>
    </row>
    <row r="27" spans="1:14" x14ac:dyDescent="0.25">
      <c r="A27" s="375"/>
      <c r="B27" s="406" t="s">
        <v>67</v>
      </c>
      <c r="C27" s="401">
        <f>'4 weeks ago'!H38</f>
        <v>0</v>
      </c>
      <c r="D27" s="401">
        <f>'3 weeks ago'!H38</f>
        <v>2</v>
      </c>
      <c r="E27" s="402">
        <f>'Previous Week'!H38</f>
        <v>0</v>
      </c>
      <c r="F27" s="555">
        <f>'Last Week'!H38</f>
        <v>0</v>
      </c>
      <c r="G27" s="452">
        <f t="shared" si="4"/>
        <v>2</v>
      </c>
      <c r="H27" s="491">
        <f>'2016 Data'!H68</f>
        <v>2.7540983606557377</v>
      </c>
      <c r="I27" s="594">
        <f>'YTD 2017'!H38</f>
        <v>9</v>
      </c>
      <c r="J27" s="401">
        <f>'YTD 2016'!H38</f>
        <v>13</v>
      </c>
      <c r="K27" s="556">
        <f>'YTD 2015'!H38</f>
        <v>9</v>
      </c>
      <c r="L27" s="404">
        <f>I27-J27</f>
        <v>-4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ago'!K38</f>
        <v>2</v>
      </c>
      <c r="D28" s="401">
        <f>'3 weeks ago'!K38</f>
        <v>0</v>
      </c>
      <c r="E28" s="402">
        <f>'Previous Week'!K38</f>
        <v>0</v>
      </c>
      <c r="F28" s="555">
        <f>'Last Week'!K38</f>
        <v>0</v>
      </c>
      <c r="G28" s="452">
        <f t="shared" si="4"/>
        <v>2</v>
      </c>
      <c r="H28" s="491">
        <f>'2016 Data'!K68</f>
        <v>0.76502732240437155</v>
      </c>
      <c r="I28" s="594">
        <f>'YTD 2017'!K38</f>
        <v>3</v>
      </c>
      <c r="J28" s="401">
        <f>'YTD 2016'!K38</f>
        <v>2</v>
      </c>
      <c r="K28" s="556">
        <f>'YTD 2015'!K38</f>
        <v>0</v>
      </c>
      <c r="L28" s="404">
        <f t="shared" si="5"/>
        <v>1</v>
      </c>
      <c r="M28" s="407">
        <f t="shared" si="6"/>
        <v>3</v>
      </c>
      <c r="N28" s="380"/>
    </row>
    <row r="29" spans="1:14" x14ac:dyDescent="0.25">
      <c r="A29" s="375"/>
      <c r="B29" s="406" t="s">
        <v>8</v>
      </c>
      <c r="C29" s="401">
        <f>'4 weeks ago'!B38</f>
        <v>0</v>
      </c>
      <c r="D29" s="401">
        <f>'3 weeks ago'!B38</f>
        <v>0</v>
      </c>
      <c r="E29" s="402">
        <f>'Previous Week'!B38</f>
        <v>1</v>
      </c>
      <c r="F29" s="555">
        <f>'Last Week'!B38</f>
        <v>0</v>
      </c>
      <c r="G29" s="452">
        <f t="shared" si="4"/>
        <v>1</v>
      </c>
      <c r="H29" s="491">
        <f>'2016 Data'!B68</f>
        <v>1.3770491803278688</v>
      </c>
      <c r="I29" s="594">
        <f>'YTD 2017'!B38</f>
        <v>2</v>
      </c>
      <c r="J29" s="401">
        <f>'YTD 2016'!B38</f>
        <v>3</v>
      </c>
      <c r="K29" s="556">
        <f>'YTD 2015'!B38</f>
        <v>3</v>
      </c>
      <c r="L29" s="404">
        <f t="shared" si="5"/>
        <v>-1</v>
      </c>
      <c r="M29" s="407">
        <f t="shared" si="6"/>
        <v>-1</v>
      </c>
      <c r="N29" s="380"/>
    </row>
    <row r="30" spans="1:14" x14ac:dyDescent="0.25">
      <c r="A30" s="375"/>
      <c r="B30" s="419" t="s">
        <v>5</v>
      </c>
      <c r="C30" s="420">
        <f t="shared" ref="C30:J30" si="7">SUM(C21:C29)</f>
        <v>7</v>
      </c>
      <c r="D30" s="420">
        <f t="shared" si="7"/>
        <v>6</v>
      </c>
      <c r="E30" s="420">
        <f t="shared" si="7"/>
        <v>3</v>
      </c>
      <c r="F30" s="421">
        <f t="shared" si="7"/>
        <v>5</v>
      </c>
      <c r="G30" s="455">
        <f t="shared" si="7"/>
        <v>21</v>
      </c>
      <c r="H30" s="494">
        <f t="shared" si="7"/>
        <v>26.316939890710383</v>
      </c>
      <c r="I30" s="422">
        <f t="shared" si="7"/>
        <v>104</v>
      </c>
      <c r="J30" s="420">
        <f t="shared" si="7"/>
        <v>99</v>
      </c>
      <c r="K30" s="420">
        <f>SUM(K21:K29)</f>
        <v>107</v>
      </c>
      <c r="L30" s="412">
        <f>(I30-J30)/J30</f>
        <v>5.0505050505050504E-2</v>
      </c>
      <c r="M30" s="413">
        <f>(I30-K30)/K30</f>
        <v>-2.8037383177570093E-2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8">C30+C19</f>
        <v>7</v>
      </c>
      <c r="D31" s="409">
        <f t="shared" si="8"/>
        <v>6</v>
      </c>
      <c r="E31" s="409">
        <f t="shared" si="8"/>
        <v>3</v>
      </c>
      <c r="F31" s="410">
        <f t="shared" si="8"/>
        <v>5</v>
      </c>
      <c r="G31" s="453">
        <f t="shared" si="8"/>
        <v>21</v>
      </c>
      <c r="H31" s="492">
        <f t="shared" si="8"/>
        <v>27.464480874316941</v>
      </c>
      <c r="I31" s="411">
        <f t="shared" si="8"/>
        <v>109</v>
      </c>
      <c r="J31" s="409">
        <f t="shared" si="8"/>
        <v>106</v>
      </c>
      <c r="K31" s="409">
        <f t="shared" si="8"/>
        <v>115</v>
      </c>
      <c r="L31" s="412">
        <f>(I31-J31)/J31</f>
        <v>2.8301886792452831E-2</v>
      </c>
      <c r="M31" s="413">
        <f>(I31-K31)/K31</f>
        <v>-5.2173913043478258E-2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ago'!S38</f>
        <v>0</v>
      </c>
      <c r="D41" s="441">
        <f>'3 weeks ago'!S38</f>
        <v>0</v>
      </c>
      <c r="E41" s="441">
        <f>'Previous Week'!S38</f>
        <v>0</v>
      </c>
      <c r="F41" s="442">
        <f>'Last Week'!S38</f>
        <v>0</v>
      </c>
      <c r="G41" s="452">
        <f t="shared" ref="G41:G42" si="9">SUM(C41:F41)</f>
        <v>0</v>
      </c>
      <c r="H41" s="501">
        <f>'2016 Data'!R68</f>
        <v>0</v>
      </c>
      <c r="I41" s="443">
        <f>'YTD 2017'!S38</f>
        <v>0</v>
      </c>
      <c r="J41" s="441">
        <f>'YTD 2016'!S38</f>
        <v>0</v>
      </c>
      <c r="K41" s="441">
        <f>'YTD 2015'!S38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ago'!T38</f>
        <v>1</v>
      </c>
      <c r="D42" s="447">
        <f>'3 weeks ago'!T38</f>
        <v>1</v>
      </c>
      <c r="E42" s="446">
        <f>'Previous Week'!T38</f>
        <v>2</v>
      </c>
      <c r="F42" s="460">
        <f>'Last Week'!T38</f>
        <v>1</v>
      </c>
      <c r="G42" s="452">
        <f t="shared" si="9"/>
        <v>5</v>
      </c>
      <c r="H42" s="502">
        <f>'2016 Data'!S68</f>
        <v>4.4371584699453557</v>
      </c>
      <c r="I42" s="448">
        <f>'YTD 2017'!T38</f>
        <v>27</v>
      </c>
      <c r="J42" s="482">
        <f>'YTD 2016'!T38</f>
        <v>20</v>
      </c>
      <c r="K42" s="446">
        <f>'YTD 2015'!T38</f>
        <v>27</v>
      </c>
      <c r="L42" s="412">
        <f>(I42-J42)/J42</f>
        <v>0.35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" priority="1" stopIfTrue="1" operator="greaterThan">
      <formula>0</formula>
    </cfRule>
  </conditionalFormatting>
  <conditionalFormatting sqref="L32:M32">
    <cfRule type="cellIs" dxfId="2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J1" sqref="J1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227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226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56" t="s">
        <v>87</v>
      </c>
      <c r="D8" s="657"/>
      <c r="E8" s="657"/>
      <c r="F8" s="65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220</v>
      </c>
      <c r="D10" s="250" t="s">
        <v>221</v>
      </c>
      <c r="E10" s="394" t="s">
        <v>222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ago'!F39</f>
        <v>0</v>
      </c>
      <c r="D11" s="401">
        <f>'3 weeks ago'!F39</f>
        <v>0</v>
      </c>
      <c r="E11" s="402">
        <f>'Previous Week'!F39</f>
        <v>0</v>
      </c>
      <c r="F11" s="555">
        <f>'Last Week'!F39</f>
        <v>0</v>
      </c>
      <c r="G11" s="452">
        <f>SUM(C11:F11)</f>
        <v>0</v>
      </c>
      <c r="H11" s="491">
        <f>'2016 Data'!F69</f>
        <v>0.22950819672131148</v>
      </c>
      <c r="I11" s="557">
        <f>'YTD 2017'!F39</f>
        <v>0</v>
      </c>
      <c r="J11" s="556">
        <f>'YTD 2016'!F39</f>
        <v>2</v>
      </c>
      <c r="K11" s="556">
        <f>'YTD 2015'!F39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ago'!M39</f>
        <v>1</v>
      </c>
      <c r="D12" s="401">
        <f>'3 weeks ago'!M39</f>
        <v>0</v>
      </c>
      <c r="E12" s="402">
        <f>'Previous Week'!M39</f>
        <v>0</v>
      </c>
      <c r="F12" s="555">
        <f>'Last Week'!M39</f>
        <v>0</v>
      </c>
      <c r="G12" s="452">
        <f t="shared" ref="G12:G18" si="2">SUM(C12:F12)</f>
        <v>1</v>
      </c>
      <c r="H12" s="491">
        <f>'2016 Data'!M69</f>
        <v>0.15300546448087432</v>
      </c>
      <c r="I12" s="557">
        <f>'YTD 2017'!M39</f>
        <v>1</v>
      </c>
      <c r="J12" s="556">
        <f>'YTD 2016'!M39</f>
        <v>2</v>
      </c>
      <c r="K12" s="556">
        <f>'YTD 2015'!M39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6">
        <f>'New Rapes'!E42</f>
        <v>0</v>
      </c>
      <c r="D13" s="556">
        <f>'New Rapes'!D42</f>
        <v>0</v>
      </c>
      <c r="E13" s="555">
        <f>'New Rapes'!C42</f>
        <v>0</v>
      </c>
      <c r="F13" s="555">
        <f>'New Rapes'!B42</f>
        <v>0</v>
      </c>
      <c r="G13" s="452">
        <f t="shared" si="2"/>
        <v>0</v>
      </c>
      <c r="H13" s="576">
        <v>0.30601092896174864</v>
      </c>
      <c r="I13" s="557">
        <f>'New Rapes'!G42</f>
        <v>4</v>
      </c>
      <c r="J13" s="556">
        <f>'New Rapes'!H42</f>
        <v>0</v>
      </c>
      <c r="K13" s="556">
        <f>'New Rapes'!I42</f>
        <v>0</v>
      </c>
      <c r="L13" s="404">
        <f t="shared" si="0"/>
        <v>4</v>
      </c>
      <c r="M13" s="407">
        <f t="shared" si="1"/>
        <v>4</v>
      </c>
      <c r="N13" s="380"/>
    </row>
    <row r="14" spans="1:14" x14ac:dyDescent="0.25">
      <c r="A14" s="375"/>
      <c r="B14" s="406" t="s">
        <v>29</v>
      </c>
      <c r="C14" s="401">
        <f>'4 weeks ago'!D39</f>
        <v>0</v>
      </c>
      <c r="D14" s="401">
        <f>'3 weeks ago'!D39</f>
        <v>0</v>
      </c>
      <c r="E14" s="402">
        <f>'Previous Week'!D39</f>
        <v>0</v>
      </c>
      <c r="F14" s="555">
        <f>'Last Week'!D39</f>
        <v>0</v>
      </c>
      <c r="G14" s="452">
        <f t="shared" si="2"/>
        <v>0</v>
      </c>
      <c r="H14" s="491">
        <f>'2016 Data'!D69</f>
        <v>7.650273224043716E-2</v>
      </c>
      <c r="I14" s="557">
        <f>'YTD 2017'!D39</f>
        <v>0</v>
      </c>
      <c r="J14" s="556">
        <f>'YTD 2016'!D39</f>
        <v>0</v>
      </c>
      <c r="K14" s="556">
        <f>'YTD 2015'!D39</f>
        <v>4</v>
      </c>
      <c r="L14" s="404">
        <f t="shared" si="0"/>
        <v>0</v>
      </c>
      <c r="M14" s="407">
        <f t="shared" si="1"/>
        <v>-4</v>
      </c>
      <c r="N14" s="380"/>
    </row>
    <row r="15" spans="1:14" x14ac:dyDescent="0.25">
      <c r="A15" s="375"/>
      <c r="B15" s="406" t="s">
        <v>30</v>
      </c>
      <c r="C15" s="401">
        <f>'4 weeks ago'!Q39</f>
        <v>1</v>
      </c>
      <c r="D15" s="401">
        <f>'3 weeks ago'!Q39</f>
        <v>0</v>
      </c>
      <c r="E15" s="402">
        <f>'Previous Week'!Q39</f>
        <v>0</v>
      </c>
      <c r="F15" s="555">
        <f>'Last Week'!Q39</f>
        <v>0</v>
      </c>
      <c r="G15" s="452">
        <f t="shared" si="2"/>
        <v>1</v>
      </c>
      <c r="H15" s="491">
        <f>'2016 Data'!Q69</f>
        <v>0.38251366120218577</v>
      </c>
      <c r="I15" s="557">
        <f>'YTD 2017'!Q39</f>
        <v>2</v>
      </c>
      <c r="J15" s="556">
        <f>'YTD 2016'!Q39</f>
        <v>1</v>
      </c>
      <c r="K15" s="556">
        <f>'YTD 2015'!Q39</f>
        <v>0</v>
      </c>
      <c r="L15" s="404">
        <f t="shared" si="0"/>
        <v>1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ago'!O39</f>
        <v>0</v>
      </c>
      <c r="D16" s="401">
        <f>'3 weeks ago'!O39</f>
        <v>0</v>
      </c>
      <c r="E16" s="402">
        <f>'Previous Week'!O39</f>
        <v>0</v>
      </c>
      <c r="F16" s="555">
        <f>'Last Week'!O39</f>
        <v>0</v>
      </c>
      <c r="G16" s="452">
        <f t="shared" si="2"/>
        <v>0</v>
      </c>
      <c r="H16" s="491">
        <f>'2016 Data'!O69</f>
        <v>0.15300546448087432</v>
      </c>
      <c r="I16" s="557">
        <f>'YTD 2017'!O39</f>
        <v>0</v>
      </c>
      <c r="J16" s="556">
        <f>'YTD 2016'!O39</f>
        <v>0</v>
      </c>
      <c r="K16" s="556">
        <f>'YTD 2015'!O39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ago'!E39</f>
        <v>0</v>
      </c>
      <c r="D17" s="401">
        <f>'3 weeks ago'!E39</f>
        <v>0</v>
      </c>
      <c r="E17" s="402">
        <f>'Previous Week'!E39</f>
        <v>0</v>
      </c>
      <c r="F17" s="555">
        <f>'Last Week'!E39</f>
        <v>0</v>
      </c>
      <c r="G17" s="452">
        <f t="shared" si="2"/>
        <v>0</v>
      </c>
      <c r="H17" s="491">
        <f>'2016 Data'!E69</f>
        <v>0.99453551912568305</v>
      </c>
      <c r="I17" s="557">
        <f>'YTD 2017'!E39</f>
        <v>2</v>
      </c>
      <c r="J17" s="556">
        <f>'YTD 2016'!E39</f>
        <v>4</v>
      </c>
      <c r="K17" s="556">
        <f>'YTD 2015'!E39</f>
        <v>2</v>
      </c>
      <c r="L17" s="404">
        <f t="shared" si="0"/>
        <v>-2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ago'!J39</f>
        <v>0</v>
      </c>
      <c r="D18" s="401">
        <f>'3 weeks ago'!J39</f>
        <v>0</v>
      </c>
      <c r="E18" s="402">
        <f>'Previous Week'!J39</f>
        <v>1</v>
      </c>
      <c r="F18" s="555">
        <f>'Last Week'!J39</f>
        <v>0</v>
      </c>
      <c r="G18" s="452">
        <f t="shared" si="2"/>
        <v>1</v>
      </c>
      <c r="H18" s="491">
        <f>'2016 Data'!J69</f>
        <v>0.91803278688524592</v>
      </c>
      <c r="I18" s="557">
        <f>'YTD 2017'!J39</f>
        <v>1</v>
      </c>
      <c r="J18" s="556">
        <f>'YTD 2016'!J39</f>
        <v>4</v>
      </c>
      <c r="K18" s="556">
        <f>'YTD 2015'!J39</f>
        <v>2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2</v>
      </c>
      <c r="D19" s="409">
        <f t="shared" si="3"/>
        <v>0</v>
      </c>
      <c r="E19" s="409">
        <f t="shared" si="3"/>
        <v>1</v>
      </c>
      <c r="F19" s="410">
        <f t="shared" si="3"/>
        <v>0</v>
      </c>
      <c r="G19" s="453">
        <f t="shared" si="3"/>
        <v>3</v>
      </c>
      <c r="H19" s="492">
        <f t="shared" si="3"/>
        <v>3.2131147540983607</v>
      </c>
      <c r="I19" s="411">
        <f t="shared" si="3"/>
        <v>10</v>
      </c>
      <c r="J19" s="409">
        <f t="shared" si="3"/>
        <v>13</v>
      </c>
      <c r="K19" s="409">
        <f t="shared" si="3"/>
        <v>9</v>
      </c>
      <c r="L19" s="412">
        <f>(I19-J19)/J19</f>
        <v>-0.23076923076923078</v>
      </c>
      <c r="M19" s="413">
        <f>(I19-K19)/K19</f>
        <v>0.1111111111111111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ago'!C39</f>
        <v>0</v>
      </c>
      <c r="D21" s="401">
        <f>'3 weeks ago'!C39</f>
        <v>0</v>
      </c>
      <c r="E21" s="402">
        <f>'Previous Week'!C39</f>
        <v>0</v>
      </c>
      <c r="F21" s="555">
        <f>'Last Week'!C39</f>
        <v>0</v>
      </c>
      <c r="G21" s="452">
        <f t="shared" ref="G21:G29" si="4">SUM(C21:F21)</f>
        <v>0</v>
      </c>
      <c r="H21" s="491">
        <f>'2016 Data'!C69</f>
        <v>1.2240437158469946</v>
      </c>
      <c r="I21" s="593">
        <f>'YTD 2017'!C39</f>
        <v>1</v>
      </c>
      <c r="J21" s="556">
        <f>'YTD 2016'!C39</f>
        <v>6</v>
      </c>
      <c r="K21" s="556">
        <f>'YTD 2015'!C39</f>
        <v>3</v>
      </c>
      <c r="L21" s="404">
        <f t="shared" ref="L21:L29" si="5">I21-J21</f>
        <v>-5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ago'!N39</f>
        <v>6</v>
      </c>
      <c r="D22" s="401">
        <f>'3 weeks ago'!N39</f>
        <v>0</v>
      </c>
      <c r="E22" s="402">
        <f>'Previous Week'!N39</f>
        <v>2</v>
      </c>
      <c r="F22" s="555">
        <f>'Last Week'!N39</f>
        <v>1</v>
      </c>
      <c r="G22" s="452">
        <f t="shared" si="4"/>
        <v>9</v>
      </c>
      <c r="H22" s="491">
        <f>'2016 Data'!N69</f>
        <v>8.6448087431693992</v>
      </c>
      <c r="I22" s="594">
        <f>'YTD 2017'!N39</f>
        <v>18</v>
      </c>
      <c r="J22" s="556">
        <f>'YTD 2016'!N39</f>
        <v>37</v>
      </c>
      <c r="K22" s="556">
        <f>'YTD 2015'!N39</f>
        <v>27</v>
      </c>
      <c r="L22" s="404">
        <f t="shared" si="5"/>
        <v>-19</v>
      </c>
      <c r="M22" s="407">
        <f t="shared" ref="M22:M29" si="6">I22-K22</f>
        <v>-9</v>
      </c>
      <c r="N22" s="380"/>
    </row>
    <row r="23" spans="1:14" x14ac:dyDescent="0.25">
      <c r="A23" s="375"/>
      <c r="B23" s="417" t="s">
        <v>62</v>
      </c>
      <c r="C23" s="401">
        <f>'4 weeks ago'!L39</f>
        <v>0</v>
      </c>
      <c r="D23" s="401">
        <f>'3 weeks ago'!L39</f>
        <v>0</v>
      </c>
      <c r="E23" s="402">
        <f>'Previous Week'!L39</f>
        <v>0</v>
      </c>
      <c r="F23" s="555">
        <f>'Last Week'!L39</f>
        <v>0</v>
      </c>
      <c r="G23" s="418">
        <f t="shared" si="4"/>
        <v>0</v>
      </c>
      <c r="H23" s="491">
        <f>'2016 Data'!L69</f>
        <v>0.38251366120218577</v>
      </c>
      <c r="I23" s="594">
        <f>'YTD 2017'!L39</f>
        <v>1</v>
      </c>
      <c r="J23" s="556">
        <f>'YTD 2016'!L39</f>
        <v>0</v>
      </c>
      <c r="K23" s="556">
        <f>'YTD 2015'!L39</f>
        <v>0</v>
      </c>
      <c r="L23" s="404">
        <f t="shared" si="5"/>
        <v>1</v>
      </c>
      <c r="M23" s="407">
        <f t="shared" si="6"/>
        <v>1</v>
      </c>
      <c r="N23" s="380"/>
    </row>
    <row r="24" spans="1:14" x14ac:dyDescent="0.25">
      <c r="A24" s="375"/>
      <c r="B24" s="417" t="s">
        <v>33</v>
      </c>
      <c r="C24" s="401">
        <f>'4 weeks ago'!P39</f>
        <v>1</v>
      </c>
      <c r="D24" s="401">
        <f>'3 weeks ago'!P39</f>
        <v>0</v>
      </c>
      <c r="E24" s="402">
        <f>'Previous Week'!P39</f>
        <v>0</v>
      </c>
      <c r="F24" s="555">
        <f>'Last Week'!P39</f>
        <v>0</v>
      </c>
      <c r="G24" s="403">
        <f t="shared" si="4"/>
        <v>1</v>
      </c>
      <c r="H24" s="491">
        <f>'2016 Data'!P69</f>
        <v>1.3005464480874318</v>
      </c>
      <c r="I24" s="594">
        <f>'YTD 2017'!P39</f>
        <v>3</v>
      </c>
      <c r="J24" s="556">
        <f>'YTD 2016'!P39</f>
        <v>8</v>
      </c>
      <c r="K24" s="556">
        <f>'YTD 2015'!P39</f>
        <v>6</v>
      </c>
      <c r="L24" s="404">
        <f t="shared" si="5"/>
        <v>-5</v>
      </c>
      <c r="M24" s="407">
        <f t="shared" si="6"/>
        <v>-3</v>
      </c>
      <c r="N24" s="380"/>
    </row>
    <row r="25" spans="1:14" x14ac:dyDescent="0.25">
      <c r="A25" s="375"/>
      <c r="B25" s="406" t="s">
        <v>7</v>
      </c>
      <c r="C25" s="401">
        <f>'4 weeks ago'!G39</f>
        <v>2</v>
      </c>
      <c r="D25" s="401">
        <f>'3 weeks ago'!G39</f>
        <v>3</v>
      </c>
      <c r="E25" s="402">
        <f>'Previous Week'!G39</f>
        <v>1</v>
      </c>
      <c r="F25" s="555">
        <f>'Last Week'!G39</f>
        <v>0</v>
      </c>
      <c r="G25" s="403">
        <f t="shared" si="4"/>
        <v>6</v>
      </c>
      <c r="H25" s="491">
        <f>'2016 Data'!G69</f>
        <v>5.0491803278688527</v>
      </c>
      <c r="I25" s="594">
        <f>'YTD 2017'!G39</f>
        <v>28</v>
      </c>
      <c r="J25" s="556">
        <f>'YTD 2016'!G39</f>
        <v>17</v>
      </c>
      <c r="K25" s="556">
        <f>'YTD 2015'!G39</f>
        <v>15</v>
      </c>
      <c r="L25" s="404">
        <f t="shared" si="5"/>
        <v>11</v>
      </c>
      <c r="M25" s="407">
        <f t="shared" si="6"/>
        <v>13</v>
      </c>
      <c r="N25" s="380"/>
    </row>
    <row r="26" spans="1:14" x14ac:dyDescent="0.25">
      <c r="A26" s="375"/>
      <c r="B26" s="406" t="s">
        <v>68</v>
      </c>
      <c r="C26" s="401">
        <f>'4 weeks ago'!I39</f>
        <v>1</v>
      </c>
      <c r="D26" s="401">
        <f>'3 weeks ago'!I39</f>
        <v>1</v>
      </c>
      <c r="E26" s="402">
        <f>'Previous Week'!I39</f>
        <v>0</v>
      </c>
      <c r="F26" s="555">
        <f>'Last Week'!I39</f>
        <v>1</v>
      </c>
      <c r="G26" s="452">
        <f t="shared" si="4"/>
        <v>3</v>
      </c>
      <c r="H26" s="491">
        <f>'2016 Data'!I69</f>
        <v>2.2950819672131146</v>
      </c>
      <c r="I26" s="594">
        <f>'YTD 2017'!I39</f>
        <v>7</v>
      </c>
      <c r="J26" s="556">
        <f>'YTD 2016'!I39</f>
        <v>7</v>
      </c>
      <c r="K26" s="556">
        <f>'YTD 2015'!I39</f>
        <v>9</v>
      </c>
      <c r="L26" s="404">
        <f t="shared" si="5"/>
        <v>0</v>
      </c>
      <c r="M26" s="407">
        <f t="shared" si="6"/>
        <v>-2</v>
      </c>
      <c r="N26" s="380"/>
    </row>
    <row r="27" spans="1:14" x14ac:dyDescent="0.25">
      <c r="A27" s="375"/>
      <c r="B27" s="406" t="s">
        <v>67</v>
      </c>
      <c r="C27" s="401">
        <f>'4 weeks ago'!H39</f>
        <v>1</v>
      </c>
      <c r="D27" s="401">
        <f>'3 weeks ago'!H39</f>
        <v>1</v>
      </c>
      <c r="E27" s="402">
        <f>'Previous Week'!H39</f>
        <v>3</v>
      </c>
      <c r="F27" s="555">
        <f>'Last Week'!H39</f>
        <v>1</v>
      </c>
      <c r="G27" s="452">
        <f t="shared" si="4"/>
        <v>6</v>
      </c>
      <c r="H27" s="491">
        <f>'2016 Data'!H69</f>
        <v>3.2131147540983607</v>
      </c>
      <c r="I27" s="594">
        <f>'YTD 2017'!H39</f>
        <v>14</v>
      </c>
      <c r="J27" s="556">
        <f>'YTD 2016'!H39</f>
        <v>14</v>
      </c>
      <c r="K27" s="556">
        <f>'YTD 2015'!H39</f>
        <v>15</v>
      </c>
      <c r="L27" s="404">
        <f>I27-J27</f>
        <v>0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ago'!K39</f>
        <v>0</v>
      </c>
      <c r="D28" s="401">
        <f>'3 weeks ago'!K39</f>
        <v>0</v>
      </c>
      <c r="E28" s="402">
        <f>'Previous Week'!K39</f>
        <v>0</v>
      </c>
      <c r="F28" s="555">
        <f>'Last Week'!K39</f>
        <v>0</v>
      </c>
      <c r="G28" s="452">
        <f t="shared" si="4"/>
        <v>0</v>
      </c>
      <c r="H28" s="491">
        <f>'2016 Data'!K69</f>
        <v>0.38251366120218577</v>
      </c>
      <c r="I28" s="594">
        <f>'YTD 2017'!K39</f>
        <v>3</v>
      </c>
      <c r="J28" s="556">
        <f>'YTD 2016'!K39</f>
        <v>0</v>
      </c>
      <c r="K28" s="556">
        <f>'YTD 2015'!K39</f>
        <v>2</v>
      </c>
      <c r="L28" s="404">
        <f t="shared" si="5"/>
        <v>3</v>
      </c>
      <c r="M28" s="407">
        <f t="shared" si="6"/>
        <v>1</v>
      </c>
      <c r="N28" s="380"/>
    </row>
    <row r="29" spans="1:14" x14ac:dyDescent="0.25">
      <c r="A29" s="375"/>
      <c r="B29" s="406" t="s">
        <v>8</v>
      </c>
      <c r="C29" s="401">
        <f>'4 weeks ago'!B39</f>
        <v>0</v>
      </c>
      <c r="D29" s="401">
        <f>'3 weeks ago'!B39</f>
        <v>0</v>
      </c>
      <c r="E29" s="402">
        <f>'Previous Week'!B39</f>
        <v>0</v>
      </c>
      <c r="F29" s="555">
        <f>'Last Week'!B39</f>
        <v>0</v>
      </c>
      <c r="G29" s="452">
        <f t="shared" si="4"/>
        <v>0</v>
      </c>
      <c r="H29" s="491">
        <f>'2016 Data'!B69</f>
        <v>2.3715846994535519</v>
      </c>
      <c r="I29" s="594">
        <f>'YTD 2017'!B39</f>
        <v>9</v>
      </c>
      <c r="J29" s="556">
        <f>'YTD 2016'!B39</f>
        <v>10</v>
      </c>
      <c r="K29" s="556">
        <f>'YTD 2015'!B39</f>
        <v>5</v>
      </c>
      <c r="L29" s="404">
        <f t="shared" si="5"/>
        <v>-1</v>
      </c>
      <c r="M29" s="407">
        <f t="shared" si="6"/>
        <v>4</v>
      </c>
      <c r="N29" s="380"/>
    </row>
    <row r="30" spans="1:14" x14ac:dyDescent="0.25">
      <c r="A30" s="375"/>
      <c r="B30" s="419" t="s">
        <v>5</v>
      </c>
      <c r="C30" s="420">
        <f t="shared" ref="C30:J30" si="7">SUM(C21:C29)</f>
        <v>11</v>
      </c>
      <c r="D30" s="420">
        <f t="shared" si="7"/>
        <v>5</v>
      </c>
      <c r="E30" s="420">
        <f t="shared" si="7"/>
        <v>6</v>
      </c>
      <c r="F30" s="421">
        <f t="shared" si="7"/>
        <v>3</v>
      </c>
      <c r="G30" s="455">
        <f t="shared" si="7"/>
        <v>25</v>
      </c>
      <c r="H30" s="494">
        <f t="shared" si="7"/>
        <v>24.863387978142079</v>
      </c>
      <c r="I30" s="422">
        <f t="shared" si="7"/>
        <v>84</v>
      </c>
      <c r="J30" s="420">
        <f t="shared" si="7"/>
        <v>99</v>
      </c>
      <c r="K30" s="420">
        <f>SUM(K21:K29)</f>
        <v>82</v>
      </c>
      <c r="L30" s="412">
        <f>(I30-J30)/J30</f>
        <v>-0.15151515151515152</v>
      </c>
      <c r="M30" s="413">
        <f>(I30-K30)/K30</f>
        <v>2.4390243902439025E-2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8">C30+C19</f>
        <v>13</v>
      </c>
      <c r="D31" s="409">
        <f t="shared" si="8"/>
        <v>5</v>
      </c>
      <c r="E31" s="409">
        <f t="shared" si="8"/>
        <v>7</v>
      </c>
      <c r="F31" s="410">
        <f t="shared" si="8"/>
        <v>3</v>
      </c>
      <c r="G31" s="453">
        <f t="shared" si="8"/>
        <v>28</v>
      </c>
      <c r="H31" s="492">
        <f t="shared" si="8"/>
        <v>28.076502732240439</v>
      </c>
      <c r="I31" s="411">
        <f t="shared" si="8"/>
        <v>94</v>
      </c>
      <c r="J31" s="409">
        <f t="shared" si="8"/>
        <v>112</v>
      </c>
      <c r="K31" s="409">
        <f t="shared" si="8"/>
        <v>91</v>
      </c>
      <c r="L31" s="412">
        <f>(I31-J31)/J31</f>
        <v>-0.16071428571428573</v>
      </c>
      <c r="M31" s="413">
        <f>(I31-K31)/K31</f>
        <v>3.2967032967032968E-2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222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ago'!S39</f>
        <v>0</v>
      </c>
      <c r="D41" s="441">
        <f>'3 weeks ago'!S39</f>
        <v>0</v>
      </c>
      <c r="E41" s="441">
        <f>'Previous Week'!S39</f>
        <v>0</v>
      </c>
      <c r="F41" s="442">
        <f>'Last Week'!S39</f>
        <v>0</v>
      </c>
      <c r="G41" s="452">
        <f t="shared" ref="G41:G42" si="9">SUM(C41:F41)</f>
        <v>0</v>
      </c>
      <c r="H41" s="501">
        <f>'2016 Data'!R69</f>
        <v>0</v>
      </c>
      <c r="I41" s="443">
        <f>'YTD 2017'!S39</f>
        <v>0</v>
      </c>
      <c r="J41" s="441">
        <f>'YTD 2016'!S39</f>
        <v>0</v>
      </c>
      <c r="K41" s="441">
        <f>'YTD 2015'!S39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ago'!T39</f>
        <v>0</v>
      </c>
      <c r="D42" s="447">
        <f>'3 weeks ago'!T39</f>
        <v>1</v>
      </c>
      <c r="E42" s="446">
        <f>'Previous Week'!T39</f>
        <v>3</v>
      </c>
      <c r="F42" s="460">
        <f>'Last Week'!T39</f>
        <v>2</v>
      </c>
      <c r="G42" s="452">
        <f t="shared" si="9"/>
        <v>6</v>
      </c>
      <c r="H42" s="502">
        <f>'2016 Data'!S69</f>
        <v>13.846994535519126</v>
      </c>
      <c r="I42" s="448">
        <f>'YTD 2017'!T39</f>
        <v>49</v>
      </c>
      <c r="J42" s="482">
        <f>'YTD 2016'!T39</f>
        <v>49</v>
      </c>
      <c r="K42" s="446">
        <f>'YTD 2015'!T39</f>
        <v>28</v>
      </c>
      <c r="L42" s="412">
        <f>(I42-J42)/J42</f>
        <v>0</v>
      </c>
      <c r="M42" s="413">
        <f>(I42-K42)/K42</f>
        <v>0.75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" priority="1" stopIfTrue="1" operator="greaterThan">
      <formula>0</formula>
    </cfRule>
  </conditionalFormatting>
  <conditionalFormatting sqref="L32:M32">
    <cfRule type="cellIs" dxfId="0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9"/>
  <sheetViews>
    <sheetView workbookViewId="0"/>
  </sheetViews>
  <sheetFormatPr defaultRowHeight="12.75" x14ac:dyDescent="0.2"/>
  <cols>
    <col min="1" max="1" width="7.140625" customWidth="1"/>
    <col min="2" max="17" width="8.85546875" style="327"/>
  </cols>
  <sheetData>
    <row r="1" spans="1:20" x14ac:dyDescent="0.2">
      <c r="A1" t="s">
        <v>184</v>
      </c>
      <c r="R1" t="s">
        <v>154</v>
      </c>
    </row>
    <row r="2" spans="1:20" x14ac:dyDescent="0.2">
      <c r="A2" t="s">
        <v>81</v>
      </c>
      <c r="B2" s="327" t="s">
        <v>25</v>
      </c>
      <c r="C2" s="327" t="s">
        <v>37</v>
      </c>
      <c r="D2" s="327" t="s">
        <v>35</v>
      </c>
      <c r="E2" s="327" t="s">
        <v>82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83</v>
      </c>
      <c r="K2" s="327" t="s">
        <v>39</v>
      </c>
      <c r="L2" s="327" t="s">
        <v>84</v>
      </c>
      <c r="M2" s="327" t="s">
        <v>24</v>
      </c>
      <c r="N2" s="327" t="s">
        <v>38</v>
      </c>
      <c r="O2" s="327" t="s">
        <v>36</v>
      </c>
      <c r="P2" s="327" t="s">
        <v>85</v>
      </c>
      <c r="Q2" s="327" t="s">
        <v>69</v>
      </c>
      <c r="R2" s="327" t="s">
        <v>90</v>
      </c>
      <c r="S2">
        <v>53</v>
      </c>
    </row>
    <row r="3" spans="1:20" x14ac:dyDescent="0.2">
      <c r="A3" t="s">
        <v>123</v>
      </c>
      <c r="B3" s="545">
        <v>29</v>
      </c>
      <c r="C3" s="545">
        <v>5</v>
      </c>
      <c r="D3" s="545">
        <v>4</v>
      </c>
      <c r="E3" s="545">
        <v>1</v>
      </c>
      <c r="F3" s="545">
        <v>0</v>
      </c>
      <c r="G3" s="545">
        <v>46</v>
      </c>
      <c r="H3" s="545">
        <v>43</v>
      </c>
      <c r="I3" s="545">
        <v>25</v>
      </c>
      <c r="J3" s="545">
        <v>6</v>
      </c>
      <c r="K3" s="545">
        <v>9</v>
      </c>
      <c r="L3" s="545">
        <v>1</v>
      </c>
      <c r="M3" s="545">
        <v>1</v>
      </c>
      <c r="N3" s="545">
        <v>14</v>
      </c>
      <c r="O3" s="545">
        <v>1</v>
      </c>
      <c r="P3" s="545">
        <v>3</v>
      </c>
      <c r="Q3" s="545">
        <v>3</v>
      </c>
      <c r="R3" s="500"/>
      <c r="S3" s="500">
        <v>21</v>
      </c>
      <c r="T3" s="500"/>
    </row>
    <row r="4" spans="1:20" x14ac:dyDescent="0.2">
      <c r="A4" t="s">
        <v>124</v>
      </c>
      <c r="B4" s="545">
        <v>52</v>
      </c>
      <c r="C4" s="545">
        <v>6</v>
      </c>
      <c r="D4" s="545">
        <v>4</v>
      </c>
      <c r="E4" s="545">
        <v>9</v>
      </c>
      <c r="F4" s="545">
        <v>1</v>
      </c>
      <c r="G4" s="545">
        <v>112</v>
      </c>
      <c r="H4" s="545">
        <v>35</v>
      </c>
      <c r="I4" s="545">
        <v>34</v>
      </c>
      <c r="J4" s="545">
        <v>11</v>
      </c>
      <c r="K4" s="545">
        <v>12</v>
      </c>
      <c r="L4" s="545">
        <v>4</v>
      </c>
      <c r="M4" s="545">
        <v>2</v>
      </c>
      <c r="N4" s="545">
        <v>93</v>
      </c>
      <c r="O4" s="545">
        <v>4</v>
      </c>
      <c r="P4" s="545">
        <v>38</v>
      </c>
      <c r="Q4" s="545">
        <v>8</v>
      </c>
      <c r="R4" s="500"/>
      <c r="S4" s="500">
        <v>85</v>
      </c>
      <c r="T4" s="500"/>
    </row>
    <row r="5" spans="1:20" x14ac:dyDescent="0.2">
      <c r="A5" t="s">
        <v>125</v>
      </c>
      <c r="B5" s="545">
        <v>35</v>
      </c>
      <c r="C5" s="545">
        <v>14</v>
      </c>
      <c r="D5" s="545">
        <v>2</v>
      </c>
      <c r="E5" s="545">
        <v>16</v>
      </c>
      <c r="F5" s="545">
        <v>1</v>
      </c>
      <c r="G5" s="545">
        <v>55</v>
      </c>
      <c r="H5" s="545">
        <v>28</v>
      </c>
      <c r="I5" s="545">
        <v>25</v>
      </c>
      <c r="J5" s="545">
        <v>10</v>
      </c>
      <c r="K5" s="545">
        <v>1</v>
      </c>
      <c r="L5" s="545">
        <v>4</v>
      </c>
      <c r="M5" s="545">
        <v>5</v>
      </c>
      <c r="N5" s="545">
        <v>41</v>
      </c>
      <c r="O5" s="545">
        <v>2</v>
      </c>
      <c r="P5" s="545">
        <v>21</v>
      </c>
      <c r="Q5" s="545">
        <v>10</v>
      </c>
      <c r="R5" s="500">
        <v>3</v>
      </c>
      <c r="S5" s="500">
        <v>112</v>
      </c>
      <c r="T5" s="500"/>
    </row>
    <row r="6" spans="1:20" x14ac:dyDescent="0.2">
      <c r="A6" t="s">
        <v>126</v>
      </c>
      <c r="B6" s="545">
        <v>34</v>
      </c>
      <c r="C6" s="545">
        <v>12</v>
      </c>
      <c r="D6" s="545">
        <v>2</v>
      </c>
      <c r="E6" s="545">
        <v>2</v>
      </c>
      <c r="F6" s="545">
        <v>2</v>
      </c>
      <c r="G6" s="545">
        <v>48</v>
      </c>
      <c r="H6" s="545">
        <v>23</v>
      </c>
      <c r="I6" s="545">
        <v>21</v>
      </c>
      <c r="J6" s="545">
        <v>6</v>
      </c>
      <c r="K6" s="545">
        <v>16</v>
      </c>
      <c r="L6" s="545">
        <v>1</v>
      </c>
      <c r="M6" s="545">
        <v>0</v>
      </c>
      <c r="N6" s="545">
        <v>52</v>
      </c>
      <c r="O6" s="545">
        <v>2</v>
      </c>
      <c r="P6" s="545">
        <v>9</v>
      </c>
      <c r="Q6" s="545">
        <v>5</v>
      </c>
      <c r="R6" s="500"/>
      <c r="S6" s="500">
        <v>97</v>
      </c>
      <c r="T6" s="500"/>
    </row>
    <row r="7" spans="1:20" x14ac:dyDescent="0.2">
      <c r="A7" t="s">
        <v>127</v>
      </c>
      <c r="B7" s="545">
        <v>25</v>
      </c>
      <c r="C7" s="545">
        <v>17</v>
      </c>
      <c r="D7" s="545">
        <v>6</v>
      </c>
      <c r="E7" s="545">
        <v>12</v>
      </c>
      <c r="F7" s="545">
        <v>2</v>
      </c>
      <c r="G7" s="545">
        <v>38</v>
      </c>
      <c r="H7" s="545">
        <v>29</v>
      </c>
      <c r="I7" s="545">
        <v>13</v>
      </c>
      <c r="J7" s="545">
        <v>12</v>
      </c>
      <c r="K7" s="545">
        <v>4</v>
      </c>
      <c r="L7" s="545">
        <v>3</v>
      </c>
      <c r="M7" s="545">
        <v>2</v>
      </c>
      <c r="N7" s="545">
        <v>51</v>
      </c>
      <c r="O7" s="545">
        <v>4</v>
      </c>
      <c r="P7" s="545">
        <v>19</v>
      </c>
      <c r="Q7" s="545">
        <v>9</v>
      </c>
      <c r="R7" s="500"/>
      <c r="S7" s="500">
        <v>107</v>
      </c>
      <c r="T7" s="500"/>
    </row>
    <row r="8" spans="1:20" x14ac:dyDescent="0.2">
      <c r="A8" t="s">
        <v>128</v>
      </c>
      <c r="B8" s="545">
        <v>39</v>
      </c>
      <c r="C8" s="545">
        <v>12</v>
      </c>
      <c r="D8" s="545">
        <v>1</v>
      </c>
      <c r="E8" s="545">
        <v>6</v>
      </c>
      <c r="F8" s="545">
        <v>0</v>
      </c>
      <c r="G8" s="545">
        <v>82</v>
      </c>
      <c r="H8" s="545">
        <v>49</v>
      </c>
      <c r="I8" s="545">
        <v>18</v>
      </c>
      <c r="J8" s="545">
        <v>6</v>
      </c>
      <c r="K8" s="545">
        <v>6</v>
      </c>
      <c r="L8" s="545">
        <v>1</v>
      </c>
      <c r="M8" s="545">
        <v>2</v>
      </c>
      <c r="N8" s="545">
        <v>40</v>
      </c>
      <c r="O8" s="545">
        <v>5</v>
      </c>
      <c r="P8" s="545">
        <v>92</v>
      </c>
      <c r="Q8" s="545">
        <v>5</v>
      </c>
      <c r="R8" s="500"/>
      <c r="S8" s="500">
        <v>79</v>
      </c>
      <c r="T8" s="500"/>
    </row>
    <row r="9" spans="1:20" x14ac:dyDescent="0.2">
      <c r="A9" t="s">
        <v>129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121</v>
      </c>
      <c r="T9" s="500"/>
    </row>
    <row r="10" spans="1:20" x14ac:dyDescent="0.2">
      <c r="A10" t="s">
        <v>130</v>
      </c>
      <c r="B10" s="327">
        <v>40</v>
      </c>
      <c r="C10" s="327">
        <v>11</v>
      </c>
      <c r="D10" s="327">
        <v>1</v>
      </c>
      <c r="E10" s="327">
        <v>8</v>
      </c>
      <c r="F10" s="327">
        <v>0</v>
      </c>
      <c r="G10" s="327">
        <v>142</v>
      </c>
      <c r="H10" s="327">
        <v>105</v>
      </c>
      <c r="I10" s="327">
        <v>41</v>
      </c>
      <c r="J10" s="327">
        <v>12</v>
      </c>
      <c r="K10" s="327">
        <v>5</v>
      </c>
      <c r="L10" s="327">
        <v>38</v>
      </c>
      <c r="M10" s="327">
        <v>5</v>
      </c>
      <c r="N10" s="327">
        <v>7</v>
      </c>
      <c r="O10" s="327">
        <v>0</v>
      </c>
      <c r="P10" s="327">
        <v>39</v>
      </c>
      <c r="Q10" s="327">
        <v>45</v>
      </c>
      <c r="R10" s="28">
        <v>16</v>
      </c>
      <c r="S10">
        <v>23</v>
      </c>
      <c r="T10" s="500"/>
    </row>
    <row r="11" spans="1:20" x14ac:dyDescent="0.2">
      <c r="A11" t="s">
        <v>131</v>
      </c>
      <c r="B11" s="327">
        <v>26</v>
      </c>
      <c r="C11" s="327">
        <v>1</v>
      </c>
      <c r="D11" s="327">
        <v>0</v>
      </c>
      <c r="E11" s="327">
        <v>8</v>
      </c>
      <c r="F11" s="327">
        <v>0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46</v>
      </c>
      <c r="T11" s="500"/>
    </row>
    <row r="12" spans="1:20" x14ac:dyDescent="0.2">
      <c r="A12" t="s">
        <v>132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134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115</v>
      </c>
      <c r="T12" s="500"/>
    </row>
    <row r="13" spans="1:20" x14ac:dyDescent="0.2">
      <c r="A13" t="s">
        <v>133</v>
      </c>
      <c r="B13" s="327">
        <v>42</v>
      </c>
      <c r="C13" s="327">
        <v>21</v>
      </c>
      <c r="D13" s="327">
        <v>1</v>
      </c>
      <c r="E13" s="327">
        <v>12</v>
      </c>
      <c r="F13" s="327">
        <v>0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O13" s="327">
        <v>0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">
      <c r="A14" t="s">
        <v>134</v>
      </c>
      <c r="B14" s="327">
        <v>27</v>
      </c>
      <c r="C14" s="327">
        <v>17</v>
      </c>
      <c r="D14" s="327">
        <v>0</v>
      </c>
      <c r="E14" s="327">
        <v>30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L14" s="327">
        <v>0</v>
      </c>
      <c r="M14" s="327">
        <v>1</v>
      </c>
      <c r="N14" s="327">
        <v>54</v>
      </c>
      <c r="O14" s="327">
        <v>1</v>
      </c>
      <c r="P14" s="327">
        <v>32</v>
      </c>
      <c r="Q14" s="327">
        <v>22</v>
      </c>
      <c r="R14" s="28">
        <v>203</v>
      </c>
      <c r="S14">
        <v>173</v>
      </c>
      <c r="T14" s="500"/>
    </row>
    <row r="15" spans="1:20" x14ac:dyDescent="0.2">
      <c r="A15" t="s">
        <v>135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M15" s="327">
        <v>0</v>
      </c>
      <c r="N15" s="327">
        <v>78</v>
      </c>
      <c r="O15" s="327">
        <v>3</v>
      </c>
      <c r="P15" s="327">
        <v>6</v>
      </c>
      <c r="Q15" s="327">
        <v>11</v>
      </c>
      <c r="R15" s="28">
        <v>219</v>
      </c>
      <c r="S15">
        <v>179</v>
      </c>
      <c r="T15" s="500"/>
    </row>
    <row r="16" spans="1:20" x14ac:dyDescent="0.2">
      <c r="A16" t="s">
        <v>136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7</v>
      </c>
      <c r="K16" s="327">
        <v>1</v>
      </c>
      <c r="L16" s="327">
        <v>2</v>
      </c>
      <c r="M16" s="327">
        <v>1</v>
      </c>
      <c r="N16" s="327">
        <v>59</v>
      </c>
      <c r="O16" s="327">
        <v>0</v>
      </c>
      <c r="P16" s="327">
        <v>27</v>
      </c>
      <c r="Q16" s="327">
        <v>14</v>
      </c>
      <c r="R16" s="28">
        <v>1</v>
      </c>
      <c r="S16">
        <v>122</v>
      </c>
      <c r="T16" s="500"/>
    </row>
    <row r="17" spans="1:20" x14ac:dyDescent="0.2">
      <c r="A17" t="s">
        <v>137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63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50</v>
      </c>
      <c r="O17" s="327">
        <v>1</v>
      </c>
      <c r="P17" s="327">
        <v>27</v>
      </c>
      <c r="Q17" s="327">
        <v>28</v>
      </c>
      <c r="R17" s="28">
        <v>71</v>
      </c>
      <c r="S17">
        <v>167</v>
      </c>
      <c r="T17" s="500"/>
    </row>
    <row r="18" spans="1:20" x14ac:dyDescent="0.2">
      <c r="A18" t="s">
        <v>138</v>
      </c>
      <c r="B18" s="327">
        <v>44</v>
      </c>
      <c r="C18" s="327">
        <v>18</v>
      </c>
      <c r="D18" s="327">
        <v>3</v>
      </c>
      <c r="E18" s="327">
        <v>6</v>
      </c>
      <c r="F18" s="327">
        <v>0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">
      <c r="A19" t="s">
        <v>139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16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305</v>
      </c>
      <c r="S19">
        <v>237</v>
      </c>
      <c r="T19" s="500"/>
    </row>
    <row r="20" spans="1:20" x14ac:dyDescent="0.2">
      <c r="A20" t="s">
        <v>140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O20" s="327">
        <v>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">
      <c r="A21" t="s">
        <v>141</v>
      </c>
      <c r="B21" s="327">
        <v>19</v>
      </c>
      <c r="C21" s="327">
        <v>23</v>
      </c>
      <c r="D21" s="327">
        <v>5</v>
      </c>
      <c r="E21" s="327">
        <v>4</v>
      </c>
      <c r="F21" s="327">
        <v>0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L21" s="327">
        <v>0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">
      <c r="A22" t="s">
        <v>142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76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99</v>
      </c>
      <c r="T22" s="500"/>
    </row>
    <row r="23" spans="1:20" x14ac:dyDescent="0.2">
      <c r="A23" t="s">
        <v>143</v>
      </c>
      <c r="B23" s="327">
        <v>15</v>
      </c>
      <c r="C23" s="327">
        <v>15</v>
      </c>
      <c r="D23" s="327">
        <v>10</v>
      </c>
      <c r="E23" s="327">
        <v>1</v>
      </c>
      <c r="F23" s="327">
        <v>3</v>
      </c>
      <c r="G23" s="327">
        <v>36</v>
      </c>
      <c r="H23" s="327">
        <v>38</v>
      </c>
      <c r="I23" s="327">
        <v>17</v>
      </c>
      <c r="J23" s="327">
        <v>6</v>
      </c>
      <c r="K23" s="327">
        <v>2</v>
      </c>
      <c r="L23" s="327">
        <v>4</v>
      </c>
      <c r="M23" s="327">
        <v>1</v>
      </c>
      <c r="N23" s="327">
        <v>28</v>
      </c>
      <c r="O23" s="327">
        <v>1</v>
      </c>
      <c r="P23" s="327">
        <v>335</v>
      </c>
      <c r="Q23" s="327">
        <v>7</v>
      </c>
      <c r="R23" s="28"/>
      <c r="S23">
        <v>70</v>
      </c>
      <c r="T23" s="500"/>
    </row>
    <row r="24" spans="1:20" x14ac:dyDescent="0.2">
      <c r="A24" t="s">
        <v>144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">
      <c r="A25" t="s">
        <v>145</v>
      </c>
      <c r="B25" s="327">
        <v>5</v>
      </c>
      <c r="C25" s="327">
        <v>0</v>
      </c>
      <c r="D25" s="327">
        <v>0</v>
      </c>
      <c r="E25" s="327">
        <v>0</v>
      </c>
      <c r="F25" s="327">
        <v>1</v>
      </c>
      <c r="G25" s="327">
        <v>9</v>
      </c>
      <c r="H25" s="327">
        <v>3</v>
      </c>
      <c r="I25" s="327">
        <v>4</v>
      </c>
      <c r="J25" s="327">
        <v>1</v>
      </c>
      <c r="K25" s="327">
        <v>3</v>
      </c>
      <c r="L25" s="327">
        <v>0</v>
      </c>
      <c r="M25" s="327">
        <v>0</v>
      </c>
      <c r="N25" s="327">
        <v>18</v>
      </c>
      <c r="O25" s="327">
        <v>0</v>
      </c>
      <c r="P25" s="327">
        <v>0</v>
      </c>
      <c r="Q25" s="327">
        <v>2</v>
      </c>
      <c r="R25" s="28"/>
      <c r="S25">
        <v>55</v>
      </c>
      <c r="T25" s="500"/>
    </row>
    <row r="26" spans="1:20" x14ac:dyDescent="0.2">
      <c r="A26" t="s">
        <v>146</v>
      </c>
      <c r="B26" s="327">
        <v>15</v>
      </c>
      <c r="C26" s="327">
        <v>0</v>
      </c>
      <c r="D26" s="327">
        <v>5</v>
      </c>
      <c r="E26" s="327">
        <v>3</v>
      </c>
      <c r="F26" s="327">
        <v>0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O26" s="327">
        <v>0</v>
      </c>
      <c r="P26" s="327">
        <v>142</v>
      </c>
      <c r="Q26" s="327">
        <v>4</v>
      </c>
      <c r="R26" s="28"/>
      <c r="S26">
        <v>104</v>
      </c>
      <c r="T26" s="500"/>
    </row>
    <row r="27" spans="1:20" x14ac:dyDescent="0.2">
      <c r="A27" t="s">
        <v>147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">
      <c r="A28" t="s">
        <v>148</v>
      </c>
      <c r="B28" s="327">
        <v>18</v>
      </c>
      <c r="C28" s="327">
        <v>1</v>
      </c>
      <c r="D28" s="327">
        <v>2</v>
      </c>
      <c r="E28" s="327">
        <v>4</v>
      </c>
      <c r="F28" s="327">
        <v>2</v>
      </c>
      <c r="G28" s="327">
        <v>25</v>
      </c>
      <c r="H28" s="327">
        <v>41</v>
      </c>
      <c r="I28" s="327">
        <v>9</v>
      </c>
      <c r="J28" s="327">
        <v>7</v>
      </c>
      <c r="K28" s="327">
        <v>2</v>
      </c>
      <c r="L28" s="327">
        <v>2</v>
      </c>
      <c r="M28" s="327">
        <v>0</v>
      </c>
      <c r="N28" s="327">
        <v>34</v>
      </c>
      <c r="O28" s="327">
        <v>1</v>
      </c>
      <c r="P28" s="327">
        <v>3</v>
      </c>
      <c r="Q28" s="327">
        <v>7</v>
      </c>
      <c r="R28" s="28"/>
      <c r="S28">
        <v>82</v>
      </c>
      <c r="T28" s="500"/>
    </row>
    <row r="29" spans="1:20" x14ac:dyDescent="0.2">
      <c r="A29" t="s">
        <v>149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M29" s="327">
        <v>0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">
      <c r="A30" t="s">
        <v>150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L30" s="327">
        <v>0</v>
      </c>
      <c r="M30" s="327">
        <v>1</v>
      </c>
      <c r="N30" s="327">
        <v>80</v>
      </c>
      <c r="O30" s="327">
        <v>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">
      <c r="A31" t="s">
        <v>151</v>
      </c>
      <c r="B31" s="327">
        <v>20</v>
      </c>
      <c r="C31" s="327">
        <v>3</v>
      </c>
      <c r="D31" s="327">
        <v>1</v>
      </c>
      <c r="E31" s="327">
        <v>3</v>
      </c>
      <c r="F31" s="327">
        <v>0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O31" s="327">
        <v>0</v>
      </c>
      <c r="P31" s="327">
        <v>80</v>
      </c>
      <c r="Q31" s="327">
        <v>1</v>
      </c>
      <c r="R31" s="28"/>
      <c r="S31">
        <v>69</v>
      </c>
      <c r="T31" s="500"/>
    </row>
    <row r="32" spans="1:20" x14ac:dyDescent="0.2">
      <c r="A32" t="s">
        <v>152</v>
      </c>
      <c r="B32" s="327">
        <v>1</v>
      </c>
      <c r="C32" s="327">
        <v>1</v>
      </c>
      <c r="D32" s="327">
        <v>0</v>
      </c>
      <c r="E32" s="327">
        <v>4</v>
      </c>
      <c r="F32" s="327">
        <v>0</v>
      </c>
      <c r="G32" s="327">
        <v>7</v>
      </c>
      <c r="H32" s="327">
        <v>2</v>
      </c>
      <c r="I32" s="327">
        <v>4</v>
      </c>
      <c r="J32" s="327">
        <v>1</v>
      </c>
      <c r="K32" s="327">
        <v>2</v>
      </c>
      <c r="L32" s="327">
        <v>0</v>
      </c>
      <c r="M32" s="327">
        <v>0</v>
      </c>
      <c r="N32" s="327">
        <v>16</v>
      </c>
      <c r="O32" s="327">
        <v>0</v>
      </c>
      <c r="P32" s="327">
        <v>0</v>
      </c>
      <c r="Q32" s="327">
        <v>0</v>
      </c>
      <c r="R32" s="28"/>
      <c r="S32">
        <v>52</v>
      </c>
      <c r="T32" s="500"/>
    </row>
    <row r="33" spans="1:20" x14ac:dyDescent="0.2">
      <c r="A33" s="24">
        <v>61</v>
      </c>
      <c r="B33" s="327">
        <v>18</v>
      </c>
      <c r="C33" s="327">
        <v>10</v>
      </c>
      <c r="D33" s="327">
        <v>1</v>
      </c>
      <c r="E33" s="327">
        <v>3</v>
      </c>
      <c r="F33" s="327">
        <v>0</v>
      </c>
      <c r="G33" s="327">
        <v>74</v>
      </c>
      <c r="H33" s="327">
        <v>36</v>
      </c>
      <c r="I33" s="327">
        <v>37</v>
      </c>
      <c r="J33" s="327">
        <v>6</v>
      </c>
      <c r="K33" s="327">
        <v>10</v>
      </c>
      <c r="L33" s="327">
        <v>2</v>
      </c>
      <c r="M33" s="327">
        <v>0</v>
      </c>
      <c r="N33" s="327">
        <v>56</v>
      </c>
      <c r="O33" s="327">
        <v>0</v>
      </c>
      <c r="P33" s="327">
        <v>101</v>
      </c>
      <c r="Q33" s="327">
        <v>3</v>
      </c>
      <c r="R33" s="28"/>
      <c r="S33" s="327">
        <v>58</v>
      </c>
      <c r="T33" s="500"/>
    </row>
    <row r="34" spans="1:20" x14ac:dyDescent="0.2">
      <c r="A34" s="24">
        <v>62</v>
      </c>
      <c r="B34" s="327">
        <v>31</v>
      </c>
      <c r="C34" s="327">
        <v>16</v>
      </c>
      <c r="D34" s="327">
        <v>1</v>
      </c>
      <c r="E34" s="327">
        <v>13</v>
      </c>
      <c r="F34" s="327">
        <v>3</v>
      </c>
      <c r="G34" s="327">
        <v>66</v>
      </c>
      <c r="H34" s="327">
        <v>42</v>
      </c>
      <c r="I34" s="327">
        <v>30</v>
      </c>
      <c r="J34" s="327">
        <v>12</v>
      </c>
      <c r="K34" s="327">
        <v>5</v>
      </c>
      <c r="L34" s="327">
        <v>5</v>
      </c>
      <c r="M34" s="327">
        <v>2</v>
      </c>
      <c r="N34" s="327">
        <v>113</v>
      </c>
      <c r="O34" s="327">
        <v>2</v>
      </c>
      <c r="P34" s="327">
        <v>17</v>
      </c>
      <c r="Q34" s="327">
        <v>5</v>
      </c>
      <c r="R34" s="28"/>
      <c r="S34" s="327">
        <v>181</v>
      </c>
      <c r="T34" s="500"/>
    </row>
    <row r="36" spans="1:20" x14ac:dyDescent="0.2">
      <c r="A36" t="s">
        <v>153</v>
      </c>
    </row>
    <row r="37" spans="1:20" x14ac:dyDescent="0.2">
      <c r="A37" t="s">
        <v>81</v>
      </c>
      <c r="B37" s="327" t="s">
        <v>25</v>
      </c>
      <c r="C37" s="327" t="s">
        <v>37</v>
      </c>
      <c r="D37" s="327" t="s">
        <v>35</v>
      </c>
      <c r="E37" s="327" t="s">
        <v>82</v>
      </c>
      <c r="F37" s="327" t="s">
        <v>23</v>
      </c>
      <c r="G37" s="327" t="s">
        <v>26</v>
      </c>
      <c r="H37" s="327" t="s">
        <v>65</v>
      </c>
      <c r="I37" s="327" t="s">
        <v>66</v>
      </c>
      <c r="J37" s="327" t="s">
        <v>83</v>
      </c>
      <c r="K37" s="327" t="s">
        <v>39</v>
      </c>
      <c r="L37" s="327" t="s">
        <v>84</v>
      </c>
      <c r="M37" s="327" t="s">
        <v>24</v>
      </c>
      <c r="N37" s="327" t="s">
        <v>38</v>
      </c>
      <c r="O37" s="327" t="s">
        <v>36</v>
      </c>
      <c r="P37" s="327" t="s">
        <v>85</v>
      </c>
      <c r="Q37" s="327" t="s">
        <v>69</v>
      </c>
      <c r="R37" s="327" t="s">
        <v>90</v>
      </c>
      <c r="S37" s="327">
        <v>53</v>
      </c>
    </row>
    <row r="38" spans="1:20" x14ac:dyDescent="0.2">
      <c r="A38" t="s">
        <v>123</v>
      </c>
      <c r="B38" s="327">
        <f>B3/366*28</f>
        <v>2.2185792349726778</v>
      </c>
      <c r="C38" s="327">
        <f t="shared" ref="C38:Q38" si="0">C3/366*28</f>
        <v>0.38251366120218577</v>
      </c>
      <c r="D38" s="327">
        <f t="shared" si="0"/>
        <v>0.30601092896174864</v>
      </c>
      <c r="E38" s="327">
        <f t="shared" si="0"/>
        <v>7.650273224043716E-2</v>
      </c>
      <c r="F38" s="327">
        <f t="shared" si="0"/>
        <v>0</v>
      </c>
      <c r="G38" s="327">
        <f t="shared" si="0"/>
        <v>3.5191256830601092</v>
      </c>
      <c r="H38" s="327">
        <f t="shared" si="0"/>
        <v>3.2896174863387979</v>
      </c>
      <c r="I38" s="327">
        <f t="shared" si="0"/>
        <v>1.9125683060109291</v>
      </c>
      <c r="J38" s="327">
        <f t="shared" si="0"/>
        <v>0.45901639344262296</v>
      </c>
      <c r="K38" s="327">
        <f t="shared" si="0"/>
        <v>0.68852459016393441</v>
      </c>
      <c r="L38" s="327">
        <f t="shared" si="0"/>
        <v>7.650273224043716E-2</v>
      </c>
      <c r="M38" s="327">
        <f t="shared" si="0"/>
        <v>7.650273224043716E-2</v>
      </c>
      <c r="N38" s="327">
        <f t="shared" si="0"/>
        <v>1.0710382513661203</v>
      </c>
      <c r="O38" s="327">
        <f t="shared" si="0"/>
        <v>7.650273224043716E-2</v>
      </c>
      <c r="P38" s="327">
        <f t="shared" si="0"/>
        <v>0.22950819672131148</v>
      </c>
      <c r="Q38" s="327">
        <f t="shared" si="0"/>
        <v>0.22950819672131148</v>
      </c>
      <c r="R38" s="327">
        <f t="shared" ref="R38:S38" si="1">R3/365*28</f>
        <v>0</v>
      </c>
      <c r="S38" s="327">
        <f t="shared" si="1"/>
        <v>1.6109589041095891</v>
      </c>
    </row>
    <row r="39" spans="1:20" x14ac:dyDescent="0.2">
      <c r="A39" t="s">
        <v>124</v>
      </c>
      <c r="B39" s="327">
        <f t="shared" ref="B39:Q39" si="2">B4/366*28</f>
        <v>3.9781420765027322</v>
      </c>
      <c r="C39" s="327">
        <f t="shared" si="2"/>
        <v>0.45901639344262296</v>
      </c>
      <c r="D39" s="327">
        <f t="shared" si="2"/>
        <v>0.30601092896174864</v>
      </c>
      <c r="E39" s="327">
        <f t="shared" si="2"/>
        <v>0.68852459016393441</v>
      </c>
      <c r="F39" s="327">
        <f t="shared" si="2"/>
        <v>7.650273224043716E-2</v>
      </c>
      <c r="G39" s="327">
        <f t="shared" si="2"/>
        <v>8.5683060109289624</v>
      </c>
      <c r="H39" s="327">
        <f t="shared" si="2"/>
        <v>2.6775956284153004</v>
      </c>
      <c r="I39" s="327">
        <f t="shared" si="2"/>
        <v>2.6010928961748636</v>
      </c>
      <c r="J39" s="327">
        <f t="shared" si="2"/>
        <v>0.84153005464480868</v>
      </c>
      <c r="K39" s="327">
        <f t="shared" si="2"/>
        <v>0.91803278688524592</v>
      </c>
      <c r="L39" s="327">
        <f t="shared" si="2"/>
        <v>0.30601092896174864</v>
      </c>
      <c r="M39" s="327">
        <f t="shared" si="2"/>
        <v>0.15300546448087432</v>
      </c>
      <c r="N39" s="327">
        <f t="shared" si="2"/>
        <v>7.1147540983606561</v>
      </c>
      <c r="O39" s="327">
        <f t="shared" si="2"/>
        <v>0.30601092896174864</v>
      </c>
      <c r="P39" s="327">
        <f t="shared" si="2"/>
        <v>2.9071038251366121</v>
      </c>
      <c r="Q39" s="327">
        <f t="shared" si="2"/>
        <v>0.61202185792349728</v>
      </c>
      <c r="R39" s="327">
        <f t="shared" ref="R39:S39" si="3">R4/365*28</f>
        <v>0</v>
      </c>
      <c r="S39" s="327">
        <f t="shared" si="3"/>
        <v>6.5205479452054789</v>
      </c>
    </row>
    <row r="40" spans="1:20" x14ac:dyDescent="0.2">
      <c r="A40" t="s">
        <v>125</v>
      </c>
      <c r="B40" s="327">
        <f t="shared" ref="B40:Q40" si="4">B5/366*28</f>
        <v>2.6775956284153004</v>
      </c>
      <c r="C40" s="327">
        <f t="shared" si="4"/>
        <v>1.0710382513661203</v>
      </c>
      <c r="D40" s="327">
        <f t="shared" si="4"/>
        <v>0.15300546448087432</v>
      </c>
      <c r="E40" s="327">
        <f t="shared" si="4"/>
        <v>1.2240437158469946</v>
      </c>
      <c r="F40" s="327">
        <f t="shared" si="4"/>
        <v>7.650273224043716E-2</v>
      </c>
      <c r="G40" s="327">
        <f t="shared" si="4"/>
        <v>4.2076502732240435</v>
      </c>
      <c r="H40" s="327">
        <f t="shared" si="4"/>
        <v>2.1420765027322406</v>
      </c>
      <c r="I40" s="327">
        <f t="shared" si="4"/>
        <v>1.9125683060109291</v>
      </c>
      <c r="J40" s="327">
        <f t="shared" si="4"/>
        <v>0.76502732240437155</v>
      </c>
      <c r="K40" s="327">
        <f t="shared" si="4"/>
        <v>7.650273224043716E-2</v>
      </c>
      <c r="L40" s="327">
        <f t="shared" si="4"/>
        <v>0.30601092896174864</v>
      </c>
      <c r="M40" s="327">
        <f t="shared" si="4"/>
        <v>0.38251366120218577</v>
      </c>
      <c r="N40" s="327">
        <f t="shared" si="4"/>
        <v>3.1366120218579234</v>
      </c>
      <c r="O40" s="327">
        <f t="shared" si="4"/>
        <v>0.15300546448087432</v>
      </c>
      <c r="P40" s="327">
        <f t="shared" si="4"/>
        <v>1.6065573770491803</v>
      </c>
      <c r="Q40" s="327">
        <f t="shared" si="4"/>
        <v>0.76502732240437155</v>
      </c>
      <c r="R40" s="327">
        <f t="shared" ref="R40:S40" si="5">R5/365*28</f>
        <v>0.23013698630136983</v>
      </c>
      <c r="S40" s="327">
        <f t="shared" si="5"/>
        <v>8.5917808219178085</v>
      </c>
    </row>
    <row r="41" spans="1:20" x14ac:dyDescent="0.2">
      <c r="A41" t="s">
        <v>126</v>
      </c>
      <c r="B41" s="327">
        <f t="shared" ref="B41:Q41" si="6">B6/366*28</f>
        <v>2.6010928961748636</v>
      </c>
      <c r="C41" s="327">
        <f t="shared" si="6"/>
        <v>0.91803278688524592</v>
      </c>
      <c r="D41" s="327">
        <f t="shared" si="6"/>
        <v>0.15300546448087432</v>
      </c>
      <c r="E41" s="327">
        <f t="shared" si="6"/>
        <v>0.15300546448087432</v>
      </c>
      <c r="F41" s="327">
        <f t="shared" si="6"/>
        <v>0.15300546448087432</v>
      </c>
      <c r="G41" s="327">
        <f t="shared" si="6"/>
        <v>3.6721311475409837</v>
      </c>
      <c r="H41" s="327">
        <f t="shared" si="6"/>
        <v>1.7595628415300546</v>
      </c>
      <c r="I41" s="327">
        <f t="shared" si="6"/>
        <v>1.6065573770491803</v>
      </c>
      <c r="J41" s="327">
        <f t="shared" si="6"/>
        <v>0.45901639344262296</v>
      </c>
      <c r="K41" s="327">
        <f t="shared" si="6"/>
        <v>1.2240437158469946</v>
      </c>
      <c r="L41" s="327">
        <f t="shared" si="6"/>
        <v>7.650273224043716E-2</v>
      </c>
      <c r="M41" s="327">
        <f t="shared" si="6"/>
        <v>0</v>
      </c>
      <c r="N41" s="327">
        <f t="shared" si="6"/>
        <v>3.9781420765027322</v>
      </c>
      <c r="O41" s="327">
        <f t="shared" si="6"/>
        <v>0.15300546448087432</v>
      </c>
      <c r="P41" s="327">
        <f t="shared" si="6"/>
        <v>0.68852459016393441</v>
      </c>
      <c r="Q41" s="327">
        <f t="shared" si="6"/>
        <v>0.38251366120218577</v>
      </c>
      <c r="R41" s="327">
        <f t="shared" ref="R41:S41" si="7">R6/365*28</f>
        <v>0</v>
      </c>
      <c r="S41" s="327">
        <f t="shared" si="7"/>
        <v>7.4410958904109599</v>
      </c>
    </row>
    <row r="42" spans="1:20" x14ac:dyDescent="0.2">
      <c r="A42" t="s">
        <v>127</v>
      </c>
      <c r="B42" s="327">
        <f t="shared" ref="B42:Q42" si="8">B7/366*28</f>
        <v>1.9125683060109291</v>
      </c>
      <c r="C42" s="327">
        <f t="shared" si="8"/>
        <v>1.3005464480874318</v>
      </c>
      <c r="D42" s="327">
        <f t="shared" si="8"/>
        <v>0.45901639344262296</v>
      </c>
      <c r="E42" s="327">
        <f t="shared" si="8"/>
        <v>0.91803278688524592</v>
      </c>
      <c r="F42" s="327">
        <f t="shared" si="8"/>
        <v>0.15300546448087432</v>
      </c>
      <c r="G42" s="327">
        <f t="shared" si="8"/>
        <v>2.9071038251366121</v>
      </c>
      <c r="H42" s="327">
        <f t="shared" si="8"/>
        <v>2.2185792349726778</v>
      </c>
      <c r="I42" s="327">
        <f t="shared" si="8"/>
        <v>0.99453551912568305</v>
      </c>
      <c r="J42" s="327">
        <f t="shared" si="8"/>
        <v>0.91803278688524592</v>
      </c>
      <c r="K42" s="327">
        <f t="shared" si="8"/>
        <v>0.30601092896174864</v>
      </c>
      <c r="L42" s="327">
        <f t="shared" si="8"/>
        <v>0.22950819672131148</v>
      </c>
      <c r="M42" s="327">
        <f t="shared" si="8"/>
        <v>0.15300546448087432</v>
      </c>
      <c r="N42" s="327">
        <f t="shared" si="8"/>
        <v>3.9016393442622945</v>
      </c>
      <c r="O42" s="327">
        <f t="shared" si="8"/>
        <v>0.30601092896174864</v>
      </c>
      <c r="P42" s="327">
        <f t="shared" si="8"/>
        <v>1.4535519125683061</v>
      </c>
      <c r="Q42" s="327">
        <f t="shared" si="8"/>
        <v>0.68852459016393441</v>
      </c>
      <c r="R42" s="327">
        <f t="shared" ref="R42:S42" si="9">R7/365*28</f>
        <v>0</v>
      </c>
      <c r="S42" s="327">
        <f t="shared" si="9"/>
        <v>8.2082191780821923</v>
      </c>
    </row>
    <row r="43" spans="1:20" x14ac:dyDescent="0.2">
      <c r="A43" t="s">
        <v>128</v>
      </c>
      <c r="B43" s="327">
        <f t="shared" ref="B43:Q43" si="10">B8/366*28</f>
        <v>2.9836065573770489</v>
      </c>
      <c r="C43" s="327">
        <f t="shared" si="10"/>
        <v>0.91803278688524592</v>
      </c>
      <c r="D43" s="327">
        <f t="shared" si="10"/>
        <v>7.650273224043716E-2</v>
      </c>
      <c r="E43" s="327">
        <f t="shared" si="10"/>
        <v>0.45901639344262296</v>
      </c>
      <c r="F43" s="327">
        <f t="shared" si="10"/>
        <v>0</v>
      </c>
      <c r="G43" s="327">
        <f t="shared" si="10"/>
        <v>6.2732240437158469</v>
      </c>
      <c r="H43" s="327">
        <f t="shared" si="10"/>
        <v>3.7486338797814209</v>
      </c>
      <c r="I43" s="327">
        <f t="shared" si="10"/>
        <v>1.3770491803278688</v>
      </c>
      <c r="J43" s="327">
        <f t="shared" si="10"/>
        <v>0.45901639344262296</v>
      </c>
      <c r="K43" s="327">
        <f t="shared" si="10"/>
        <v>0.45901639344262296</v>
      </c>
      <c r="L43" s="327">
        <f t="shared" si="10"/>
        <v>7.650273224043716E-2</v>
      </c>
      <c r="M43" s="327">
        <f t="shared" si="10"/>
        <v>0.15300546448087432</v>
      </c>
      <c r="N43" s="327">
        <f t="shared" si="10"/>
        <v>3.0601092896174862</v>
      </c>
      <c r="O43" s="327">
        <f t="shared" si="10"/>
        <v>0.38251366120218577</v>
      </c>
      <c r="P43" s="327">
        <f t="shared" si="10"/>
        <v>7.0382513661202184</v>
      </c>
      <c r="Q43" s="327">
        <f t="shared" si="10"/>
        <v>0.38251366120218577</v>
      </c>
      <c r="R43" s="327">
        <f t="shared" ref="R43:S43" si="11">R8/365*28</f>
        <v>0</v>
      </c>
      <c r="S43" s="327">
        <f t="shared" si="11"/>
        <v>6.0602739726027401</v>
      </c>
    </row>
    <row r="44" spans="1:20" x14ac:dyDescent="0.2">
      <c r="A44" t="s">
        <v>129</v>
      </c>
      <c r="B44" s="327">
        <f t="shared" ref="B44:Q44" si="12">B9/366*28</f>
        <v>2.5245901639344264</v>
      </c>
      <c r="C44" s="327">
        <f t="shared" si="12"/>
        <v>0.68852459016393441</v>
      </c>
      <c r="D44" s="327">
        <f t="shared" si="12"/>
        <v>0.30601092896174864</v>
      </c>
      <c r="E44" s="327">
        <f t="shared" si="12"/>
        <v>1.1475409836065573</v>
      </c>
      <c r="F44" s="327">
        <f t="shared" si="12"/>
        <v>0.15300546448087432</v>
      </c>
      <c r="G44" s="327">
        <f t="shared" si="12"/>
        <v>2.5245901639344264</v>
      </c>
      <c r="H44" s="327">
        <f t="shared" si="12"/>
        <v>1.9890710382513661</v>
      </c>
      <c r="I44" s="327">
        <f t="shared" si="12"/>
        <v>1.6830601092896174</v>
      </c>
      <c r="J44" s="327">
        <f t="shared" si="12"/>
        <v>1.3770491803278688</v>
      </c>
      <c r="K44" s="327">
        <f t="shared" si="12"/>
        <v>0.15300546448087432</v>
      </c>
      <c r="L44" s="327">
        <f t="shared" si="12"/>
        <v>7.650273224043716E-2</v>
      </c>
      <c r="M44" s="327">
        <f t="shared" si="12"/>
        <v>7.650273224043716E-2</v>
      </c>
      <c r="N44" s="327">
        <f t="shared" si="12"/>
        <v>1.9125683060109291</v>
      </c>
      <c r="O44" s="327">
        <f t="shared" si="12"/>
        <v>7.650273224043716E-2</v>
      </c>
      <c r="P44" s="327">
        <f t="shared" si="12"/>
        <v>2.0655737704918034</v>
      </c>
      <c r="Q44" s="327">
        <f t="shared" si="12"/>
        <v>0.68852459016393441</v>
      </c>
      <c r="R44" s="327">
        <f t="shared" ref="R44:S44" si="13">R9/365*28</f>
        <v>0</v>
      </c>
      <c r="S44" s="327">
        <f t="shared" si="13"/>
        <v>9.2821917808219183</v>
      </c>
    </row>
    <row r="45" spans="1:20" x14ac:dyDescent="0.2">
      <c r="A45" t="s">
        <v>130</v>
      </c>
      <c r="B45" s="327">
        <f t="shared" ref="B45:Q45" si="14">B10/366*28</f>
        <v>3.0601092896174862</v>
      </c>
      <c r="C45" s="327">
        <f t="shared" si="14"/>
        <v>0.84153005464480868</v>
      </c>
      <c r="D45" s="327">
        <f t="shared" si="14"/>
        <v>7.650273224043716E-2</v>
      </c>
      <c r="E45" s="327">
        <f t="shared" si="14"/>
        <v>0.61202185792349728</v>
      </c>
      <c r="F45" s="327">
        <f t="shared" si="14"/>
        <v>0</v>
      </c>
      <c r="G45" s="327">
        <f t="shared" si="14"/>
        <v>10.863387978142075</v>
      </c>
      <c r="H45" s="327">
        <f t="shared" si="14"/>
        <v>8.0327868852459012</v>
      </c>
      <c r="I45" s="327">
        <f t="shared" si="14"/>
        <v>3.1366120218579234</v>
      </c>
      <c r="J45" s="327">
        <f t="shared" si="14"/>
        <v>0.91803278688524592</v>
      </c>
      <c r="K45" s="327">
        <f t="shared" si="14"/>
        <v>0.38251366120218577</v>
      </c>
      <c r="L45" s="327">
        <f t="shared" si="14"/>
        <v>2.9071038251366121</v>
      </c>
      <c r="M45" s="327">
        <f t="shared" si="14"/>
        <v>0.38251366120218577</v>
      </c>
      <c r="N45" s="327">
        <f t="shared" si="14"/>
        <v>0.53551912568306015</v>
      </c>
      <c r="O45" s="327">
        <f t="shared" si="14"/>
        <v>0</v>
      </c>
      <c r="P45" s="327">
        <f t="shared" si="14"/>
        <v>2.9836065573770489</v>
      </c>
      <c r="Q45" s="327">
        <f t="shared" si="14"/>
        <v>3.442622950819672</v>
      </c>
      <c r="R45" s="327">
        <f t="shared" ref="R45:S45" si="15">R10/365*28</f>
        <v>1.2273972602739727</v>
      </c>
      <c r="S45" s="327">
        <f t="shared" si="15"/>
        <v>1.7643835616438357</v>
      </c>
    </row>
    <row r="46" spans="1:20" x14ac:dyDescent="0.2">
      <c r="A46" t="s">
        <v>131</v>
      </c>
      <c r="B46" s="327">
        <f t="shared" ref="B46:Q46" si="16">B11/366*28</f>
        <v>1.9890710382513661</v>
      </c>
      <c r="C46" s="327">
        <f t="shared" si="16"/>
        <v>7.650273224043716E-2</v>
      </c>
      <c r="D46" s="327">
        <f t="shared" si="16"/>
        <v>0</v>
      </c>
      <c r="E46" s="327">
        <f t="shared" si="16"/>
        <v>0.61202185792349728</v>
      </c>
      <c r="F46" s="327">
        <f t="shared" si="16"/>
        <v>0</v>
      </c>
      <c r="G46" s="327">
        <f t="shared" si="16"/>
        <v>4.4371584699453557</v>
      </c>
      <c r="H46" s="327">
        <f t="shared" si="16"/>
        <v>3.1366120218579234</v>
      </c>
      <c r="I46" s="327">
        <f t="shared" si="16"/>
        <v>1.6830601092896174</v>
      </c>
      <c r="J46" s="327">
        <f t="shared" si="16"/>
        <v>0.76502732240437155</v>
      </c>
      <c r="K46" s="327">
        <f t="shared" si="16"/>
        <v>0.30601092896174864</v>
      </c>
      <c r="L46" s="327">
        <f t="shared" si="16"/>
        <v>0.38251366120218577</v>
      </c>
      <c r="M46" s="327">
        <f t="shared" si="16"/>
        <v>7.650273224043716E-2</v>
      </c>
      <c r="N46" s="327">
        <f t="shared" si="16"/>
        <v>1.3005464480874318</v>
      </c>
      <c r="O46" s="327">
        <f t="shared" si="16"/>
        <v>0.15300546448087432</v>
      </c>
      <c r="P46" s="327">
        <f t="shared" si="16"/>
        <v>1.9890710382513661</v>
      </c>
      <c r="Q46" s="327">
        <f t="shared" si="16"/>
        <v>1.6830601092896174</v>
      </c>
      <c r="R46" s="327">
        <f t="shared" ref="R46:S46" si="17">R11/365*28</f>
        <v>3.5287671232876714</v>
      </c>
      <c r="S46" s="327">
        <f t="shared" si="17"/>
        <v>3.5287671232876714</v>
      </c>
    </row>
    <row r="47" spans="1:20" x14ac:dyDescent="0.2">
      <c r="A47" t="s">
        <v>132</v>
      </c>
      <c r="B47" s="327">
        <f t="shared" ref="B47:Q47" si="18">B12/366*28</f>
        <v>3.2896174863387979</v>
      </c>
      <c r="C47" s="327">
        <f t="shared" si="18"/>
        <v>0.53551912568306015</v>
      </c>
      <c r="D47" s="327">
        <f t="shared" si="18"/>
        <v>7.650273224043716E-2</v>
      </c>
      <c r="E47" s="327">
        <f t="shared" si="18"/>
        <v>7.650273224043716E-2</v>
      </c>
      <c r="F47" s="327">
        <f t="shared" si="18"/>
        <v>7.650273224043716E-2</v>
      </c>
      <c r="G47" s="327">
        <f t="shared" si="18"/>
        <v>10.251366120218579</v>
      </c>
      <c r="H47" s="327">
        <f t="shared" si="18"/>
        <v>3.6721311475409837</v>
      </c>
      <c r="I47" s="327">
        <f t="shared" si="18"/>
        <v>5.1256830601092895</v>
      </c>
      <c r="J47" s="327">
        <f t="shared" si="18"/>
        <v>0.45901639344262296</v>
      </c>
      <c r="K47" s="327">
        <f t="shared" si="18"/>
        <v>0.76502732240437155</v>
      </c>
      <c r="L47" s="327">
        <f t="shared" si="18"/>
        <v>0.53551912568306015</v>
      </c>
      <c r="M47" s="327">
        <f t="shared" si="18"/>
        <v>0.15300546448087432</v>
      </c>
      <c r="N47" s="327">
        <f t="shared" si="18"/>
        <v>1.4535519125683061</v>
      </c>
      <c r="O47" s="327">
        <f t="shared" si="18"/>
        <v>0.15300546448087432</v>
      </c>
      <c r="P47" s="327">
        <f t="shared" si="18"/>
        <v>5.0491803278688527</v>
      </c>
      <c r="Q47" s="327">
        <f t="shared" si="18"/>
        <v>3.1366120218579234</v>
      </c>
      <c r="R47" s="327">
        <f t="shared" ref="R47:S47" si="19">R12/365*28</f>
        <v>3.8356164383561642</v>
      </c>
      <c r="S47" s="327">
        <f t="shared" si="19"/>
        <v>8.8219178082191778</v>
      </c>
    </row>
    <row r="48" spans="1:20" x14ac:dyDescent="0.2">
      <c r="A48" t="s">
        <v>133</v>
      </c>
      <c r="B48" s="327">
        <f t="shared" ref="B48:Q48" si="20">B13/366*28</f>
        <v>3.2131147540983607</v>
      </c>
      <c r="C48" s="327">
        <f t="shared" si="20"/>
        <v>1.6065573770491803</v>
      </c>
      <c r="D48" s="327">
        <f t="shared" si="20"/>
        <v>7.650273224043716E-2</v>
      </c>
      <c r="E48" s="327">
        <f t="shared" si="20"/>
        <v>0.91803278688524592</v>
      </c>
      <c r="F48" s="327">
        <f t="shared" si="20"/>
        <v>0</v>
      </c>
      <c r="G48" s="327">
        <f t="shared" si="20"/>
        <v>9.4863387978142075</v>
      </c>
      <c r="H48" s="327">
        <f t="shared" si="20"/>
        <v>2.2950819672131146</v>
      </c>
      <c r="I48" s="327">
        <f t="shared" si="20"/>
        <v>2.2950819672131146</v>
      </c>
      <c r="J48" s="327">
        <f t="shared" si="20"/>
        <v>0.76502732240437155</v>
      </c>
      <c r="K48" s="327">
        <f t="shared" si="20"/>
        <v>0.30601092896174864</v>
      </c>
      <c r="L48" s="327">
        <f t="shared" si="20"/>
        <v>0.15300546448087432</v>
      </c>
      <c r="M48" s="327">
        <f t="shared" si="20"/>
        <v>7.650273224043716E-2</v>
      </c>
      <c r="N48" s="327">
        <f t="shared" si="20"/>
        <v>1.6830601092896174</v>
      </c>
      <c r="O48" s="327">
        <f t="shared" si="20"/>
        <v>0</v>
      </c>
      <c r="P48" s="327">
        <f t="shared" si="20"/>
        <v>3.9781420765027322</v>
      </c>
      <c r="Q48" s="327">
        <f t="shared" si="20"/>
        <v>2.4480874316939891</v>
      </c>
      <c r="R48" s="327">
        <f t="shared" ref="R48:S48" si="21">R13/365*28</f>
        <v>6.2904109589041095</v>
      </c>
      <c r="S48" s="327">
        <f t="shared" si="21"/>
        <v>6.4438356164383563</v>
      </c>
    </row>
    <row r="49" spans="1:19" x14ac:dyDescent="0.2">
      <c r="A49" t="s">
        <v>134</v>
      </c>
      <c r="B49" s="327">
        <f t="shared" ref="B49:Q49" si="22">B14/366*28</f>
        <v>2.0655737704918034</v>
      </c>
      <c r="C49" s="327">
        <f t="shared" si="22"/>
        <v>1.3005464480874318</v>
      </c>
      <c r="D49" s="327">
        <f t="shared" si="22"/>
        <v>0</v>
      </c>
      <c r="E49" s="327">
        <f t="shared" si="22"/>
        <v>2.2950819672131146</v>
      </c>
      <c r="F49" s="327">
        <f t="shared" si="22"/>
        <v>0.15300546448087432</v>
      </c>
      <c r="G49" s="327">
        <f t="shared" si="22"/>
        <v>4.5901639344262293</v>
      </c>
      <c r="H49" s="327">
        <f t="shared" si="22"/>
        <v>1.9125683060109291</v>
      </c>
      <c r="I49" s="327">
        <f t="shared" si="22"/>
        <v>1.6830601092896174</v>
      </c>
      <c r="J49" s="327">
        <f t="shared" si="22"/>
        <v>1.1475409836065573</v>
      </c>
      <c r="K49" s="327">
        <f t="shared" si="22"/>
        <v>0.53551912568306015</v>
      </c>
      <c r="L49" s="327">
        <f t="shared" si="22"/>
        <v>0</v>
      </c>
      <c r="M49" s="327">
        <f t="shared" si="22"/>
        <v>7.650273224043716E-2</v>
      </c>
      <c r="N49" s="327">
        <f t="shared" si="22"/>
        <v>4.1311475409836067</v>
      </c>
      <c r="O49" s="327">
        <f t="shared" si="22"/>
        <v>7.650273224043716E-2</v>
      </c>
      <c r="P49" s="327">
        <f t="shared" si="22"/>
        <v>2.4480874316939891</v>
      </c>
      <c r="Q49" s="327">
        <f t="shared" si="22"/>
        <v>1.6830601092896174</v>
      </c>
      <c r="R49" s="327">
        <f t="shared" ref="R49:S49" si="23">R14/365*28</f>
        <v>15.57260273972603</v>
      </c>
      <c r="S49" s="327">
        <f t="shared" si="23"/>
        <v>13.271232876712329</v>
      </c>
    </row>
    <row r="50" spans="1:19" x14ac:dyDescent="0.2">
      <c r="A50" t="s">
        <v>135</v>
      </c>
      <c r="B50" s="327">
        <f t="shared" ref="B50:Q50" si="24">B15/366*28</f>
        <v>2.9836065573770489</v>
      </c>
      <c r="C50" s="327">
        <f t="shared" si="24"/>
        <v>0.53551912568306015</v>
      </c>
      <c r="D50" s="327">
        <f t="shared" si="24"/>
        <v>7.650273224043716E-2</v>
      </c>
      <c r="E50" s="327">
        <f t="shared" si="24"/>
        <v>1.5300546448087431</v>
      </c>
      <c r="F50" s="327">
        <f t="shared" si="24"/>
        <v>0.22950819672131148</v>
      </c>
      <c r="G50" s="327">
        <f t="shared" si="24"/>
        <v>2.7540983606557377</v>
      </c>
      <c r="H50" s="327">
        <f t="shared" si="24"/>
        <v>2.4480874316939891</v>
      </c>
      <c r="I50" s="327">
        <f t="shared" si="24"/>
        <v>1.8360655737704918</v>
      </c>
      <c r="J50" s="327">
        <f t="shared" si="24"/>
        <v>0.84153005464480868</v>
      </c>
      <c r="K50" s="327">
        <f t="shared" si="24"/>
        <v>0.30601092896174864</v>
      </c>
      <c r="L50" s="327">
        <f t="shared" si="24"/>
        <v>0.30601092896174864</v>
      </c>
      <c r="M50" s="327">
        <f t="shared" si="24"/>
        <v>0</v>
      </c>
      <c r="N50" s="327">
        <f t="shared" si="24"/>
        <v>5.9672131147540979</v>
      </c>
      <c r="O50" s="327">
        <f t="shared" si="24"/>
        <v>0.22950819672131148</v>
      </c>
      <c r="P50" s="327">
        <f t="shared" si="24"/>
        <v>0.45901639344262296</v>
      </c>
      <c r="Q50" s="327">
        <f t="shared" si="24"/>
        <v>0.84153005464480868</v>
      </c>
      <c r="R50" s="327">
        <f t="shared" ref="R50:S50" si="25">R15/365*28</f>
        <v>16.8</v>
      </c>
      <c r="S50" s="327">
        <f t="shared" si="25"/>
        <v>13.731506849315068</v>
      </c>
    </row>
    <row r="51" spans="1:19" x14ac:dyDescent="0.2">
      <c r="A51" t="s">
        <v>136</v>
      </c>
      <c r="B51" s="327">
        <f t="shared" ref="B51:Q51" si="26">B16/366*28</f>
        <v>2.8306010928961749</v>
      </c>
      <c r="C51" s="327">
        <f t="shared" si="26"/>
        <v>1.8360655737704918</v>
      </c>
      <c r="D51" s="327">
        <f t="shared" si="26"/>
        <v>0.38251366120218577</v>
      </c>
      <c r="E51" s="327">
        <f t="shared" si="26"/>
        <v>0.99453551912568305</v>
      </c>
      <c r="F51" s="327">
        <f t="shared" si="26"/>
        <v>0.30601092896174864</v>
      </c>
      <c r="G51" s="327">
        <f t="shared" si="26"/>
        <v>4.2841530054644812</v>
      </c>
      <c r="H51" s="327">
        <f t="shared" si="26"/>
        <v>2.6775956284153004</v>
      </c>
      <c r="I51" s="327">
        <f t="shared" si="26"/>
        <v>1.7595628415300546</v>
      </c>
      <c r="J51" s="327">
        <f t="shared" si="26"/>
        <v>0.53551912568306015</v>
      </c>
      <c r="K51" s="327">
        <f t="shared" si="26"/>
        <v>7.650273224043716E-2</v>
      </c>
      <c r="L51" s="327">
        <f t="shared" si="26"/>
        <v>0.15300546448087432</v>
      </c>
      <c r="M51" s="327">
        <f t="shared" si="26"/>
        <v>7.650273224043716E-2</v>
      </c>
      <c r="N51" s="327">
        <f t="shared" si="26"/>
        <v>4.5136612021857925</v>
      </c>
      <c r="O51" s="327">
        <f t="shared" si="26"/>
        <v>0</v>
      </c>
      <c r="P51" s="327">
        <f t="shared" si="26"/>
        <v>2.0655737704918034</v>
      </c>
      <c r="Q51" s="327">
        <f t="shared" si="26"/>
        <v>1.0710382513661203</v>
      </c>
      <c r="R51" s="327">
        <f t="shared" ref="R51:S51" si="27">R16/365*28</f>
        <v>7.6712328767123292E-2</v>
      </c>
      <c r="S51" s="327">
        <f t="shared" si="27"/>
        <v>9.3589041095890408</v>
      </c>
    </row>
    <row r="52" spans="1:19" x14ac:dyDescent="0.2">
      <c r="A52" t="s">
        <v>137</v>
      </c>
      <c r="B52" s="327">
        <f t="shared" ref="B52:Q52" si="28">B17/366*28</f>
        <v>3.442622950819672</v>
      </c>
      <c r="C52" s="327">
        <f t="shared" si="28"/>
        <v>2.4480874316939891</v>
      </c>
      <c r="D52" s="327">
        <f t="shared" si="28"/>
        <v>0.22950819672131148</v>
      </c>
      <c r="E52" s="327">
        <f t="shared" si="28"/>
        <v>0.38251366120218577</v>
      </c>
      <c r="F52" s="327">
        <f t="shared" si="28"/>
        <v>0.76502732240437155</v>
      </c>
      <c r="G52" s="327">
        <f t="shared" si="28"/>
        <v>8.109289617486338</v>
      </c>
      <c r="H52" s="327">
        <f t="shared" si="28"/>
        <v>4.8196721311475406</v>
      </c>
      <c r="I52" s="327">
        <f t="shared" si="28"/>
        <v>6.0437158469945356</v>
      </c>
      <c r="J52" s="327">
        <f t="shared" si="28"/>
        <v>0.84153005464480868</v>
      </c>
      <c r="K52" s="327">
        <f t="shared" si="28"/>
        <v>0.45901639344262296</v>
      </c>
      <c r="L52" s="327">
        <f t="shared" si="28"/>
        <v>0.45901639344262296</v>
      </c>
      <c r="M52" s="327">
        <f t="shared" si="28"/>
        <v>0.38251366120218577</v>
      </c>
      <c r="N52" s="327">
        <f t="shared" si="28"/>
        <v>3.8251366120218582</v>
      </c>
      <c r="O52" s="327">
        <f t="shared" si="28"/>
        <v>7.650273224043716E-2</v>
      </c>
      <c r="P52" s="327">
        <f t="shared" si="28"/>
        <v>2.0655737704918034</v>
      </c>
      <c r="Q52" s="327">
        <f t="shared" si="28"/>
        <v>2.1420765027322406</v>
      </c>
      <c r="R52" s="327">
        <f t="shared" ref="R52:S52" si="29">R17/365*28</f>
        <v>5.4465753424657537</v>
      </c>
      <c r="S52" s="327">
        <f t="shared" si="29"/>
        <v>12.81095890410959</v>
      </c>
    </row>
    <row r="53" spans="1:19" x14ac:dyDescent="0.2">
      <c r="A53" t="s">
        <v>138</v>
      </c>
      <c r="B53" s="327">
        <f t="shared" ref="B53:Q53" si="30">B18/366*28</f>
        <v>3.3661202185792347</v>
      </c>
      <c r="C53" s="327">
        <f t="shared" si="30"/>
        <v>1.3770491803278688</v>
      </c>
      <c r="D53" s="327">
        <f t="shared" si="30"/>
        <v>0.22950819672131148</v>
      </c>
      <c r="E53" s="327">
        <f t="shared" si="30"/>
        <v>0.45901639344262296</v>
      </c>
      <c r="F53" s="327">
        <f t="shared" si="30"/>
        <v>0</v>
      </c>
      <c r="G53" s="327">
        <f t="shared" si="30"/>
        <v>7.0382513661202184</v>
      </c>
      <c r="H53" s="327">
        <f t="shared" si="30"/>
        <v>5.278688524590164</v>
      </c>
      <c r="I53" s="327">
        <f t="shared" si="30"/>
        <v>2.6010928961748636</v>
      </c>
      <c r="J53" s="327">
        <f t="shared" si="30"/>
        <v>0.45901639344262296</v>
      </c>
      <c r="K53" s="327">
        <f t="shared" si="30"/>
        <v>0.30601092896174864</v>
      </c>
      <c r="L53" s="327">
        <f t="shared" si="30"/>
        <v>7.650273224043716E-2</v>
      </c>
      <c r="M53" s="327">
        <f t="shared" si="30"/>
        <v>7.650273224043716E-2</v>
      </c>
      <c r="N53" s="327">
        <f t="shared" si="30"/>
        <v>4.360655737704918</v>
      </c>
      <c r="O53" s="327">
        <f t="shared" si="30"/>
        <v>0.15300546448087432</v>
      </c>
      <c r="P53" s="327">
        <f t="shared" si="30"/>
        <v>4.360655737704918</v>
      </c>
      <c r="Q53" s="327">
        <f t="shared" si="30"/>
        <v>0.76502732240437155</v>
      </c>
      <c r="R53" s="327">
        <f t="shared" ref="R53:S53" si="31">R18/365*28</f>
        <v>0.15342465753424658</v>
      </c>
      <c r="S53" s="327">
        <f t="shared" si="31"/>
        <v>7.3643835616438347</v>
      </c>
    </row>
    <row r="54" spans="1:19" x14ac:dyDescent="0.2">
      <c r="A54" t="s">
        <v>139</v>
      </c>
      <c r="B54" s="327">
        <f t="shared" ref="B54:Q54" si="32">B19/366*28</f>
        <v>3.9016393442622945</v>
      </c>
      <c r="C54" s="327">
        <f t="shared" si="32"/>
        <v>0.99453551912568305</v>
      </c>
      <c r="D54" s="327">
        <f t="shared" si="32"/>
        <v>7.650273224043716E-2</v>
      </c>
      <c r="E54" s="327">
        <f t="shared" si="32"/>
        <v>1.2240437158469946</v>
      </c>
      <c r="F54" s="327">
        <f t="shared" si="32"/>
        <v>0.45901639344262296</v>
      </c>
      <c r="G54" s="327">
        <f t="shared" si="32"/>
        <v>5.0491803278688527</v>
      </c>
      <c r="H54" s="327">
        <f t="shared" si="32"/>
        <v>4.8961748633879782</v>
      </c>
      <c r="I54" s="327">
        <f t="shared" si="32"/>
        <v>2.0655737704918034</v>
      </c>
      <c r="J54" s="327">
        <f t="shared" si="32"/>
        <v>1.2240437158469946</v>
      </c>
      <c r="K54" s="327">
        <f t="shared" si="32"/>
        <v>0.30601092896174864</v>
      </c>
      <c r="L54" s="327">
        <f t="shared" si="32"/>
        <v>0.15300546448087432</v>
      </c>
      <c r="M54" s="327">
        <f t="shared" si="32"/>
        <v>0.22950819672131148</v>
      </c>
      <c r="N54" s="327">
        <f t="shared" si="32"/>
        <v>7.9562841530054644</v>
      </c>
      <c r="O54" s="327">
        <f t="shared" si="32"/>
        <v>0.38251366120218577</v>
      </c>
      <c r="P54" s="327">
        <f t="shared" si="32"/>
        <v>0.30601092896174864</v>
      </c>
      <c r="Q54" s="327">
        <f t="shared" si="32"/>
        <v>1.4535519125683061</v>
      </c>
      <c r="R54" s="327">
        <f t="shared" ref="R54:S54" si="33">R19/365*28</f>
        <v>23.397260273972602</v>
      </c>
      <c r="S54" s="327">
        <f t="shared" si="33"/>
        <v>18.18082191780822</v>
      </c>
    </row>
    <row r="55" spans="1:19" x14ac:dyDescent="0.2">
      <c r="A55" t="s">
        <v>140</v>
      </c>
      <c r="B55" s="327">
        <f t="shared" ref="B55:Q55" si="34">B20/366*28</f>
        <v>1.3770491803278688</v>
      </c>
      <c r="C55" s="327">
        <f t="shared" si="34"/>
        <v>1.3005464480874318</v>
      </c>
      <c r="D55" s="327">
        <f t="shared" si="34"/>
        <v>7.650273224043716E-2</v>
      </c>
      <c r="E55" s="327">
        <f t="shared" si="34"/>
        <v>0.45901639344262296</v>
      </c>
      <c r="F55" s="327">
        <f t="shared" si="34"/>
        <v>7.650273224043716E-2</v>
      </c>
      <c r="G55" s="327">
        <f t="shared" si="34"/>
        <v>7.2677595628415306</v>
      </c>
      <c r="H55" s="327">
        <f t="shared" si="34"/>
        <v>2.4480874316939891</v>
      </c>
      <c r="I55" s="327">
        <f t="shared" si="34"/>
        <v>3.0601092896174862</v>
      </c>
      <c r="J55" s="327">
        <f t="shared" si="34"/>
        <v>0.22950819672131148</v>
      </c>
      <c r="K55" s="327">
        <f t="shared" si="34"/>
        <v>0.15300546448087432</v>
      </c>
      <c r="L55" s="327">
        <f t="shared" si="34"/>
        <v>0.22950819672131148</v>
      </c>
      <c r="M55" s="327">
        <f t="shared" si="34"/>
        <v>7.650273224043716E-2</v>
      </c>
      <c r="N55" s="327">
        <f t="shared" si="34"/>
        <v>3.0601092896174862</v>
      </c>
      <c r="O55" s="327">
        <f t="shared" si="34"/>
        <v>0</v>
      </c>
      <c r="P55" s="327">
        <f t="shared" si="34"/>
        <v>3.2896174863387979</v>
      </c>
      <c r="Q55" s="327">
        <f t="shared" si="34"/>
        <v>1.4535519125683061</v>
      </c>
      <c r="R55" s="327">
        <f t="shared" ref="R55:S55" si="35">R20/365*28</f>
        <v>3.5287671232876714</v>
      </c>
      <c r="S55" s="327">
        <f t="shared" si="35"/>
        <v>12.657534246575342</v>
      </c>
    </row>
    <row r="56" spans="1:19" x14ac:dyDescent="0.2">
      <c r="A56" t="s">
        <v>141</v>
      </c>
      <c r="B56" s="327">
        <f t="shared" ref="B56:Q56" si="36">B21/366*28</f>
        <v>1.4535519125683061</v>
      </c>
      <c r="C56" s="327">
        <f t="shared" si="36"/>
        <v>1.7595628415300546</v>
      </c>
      <c r="D56" s="327">
        <f t="shared" si="36"/>
        <v>0.38251366120218577</v>
      </c>
      <c r="E56" s="327">
        <f t="shared" si="36"/>
        <v>0.30601092896174864</v>
      </c>
      <c r="F56" s="327">
        <f t="shared" si="36"/>
        <v>0</v>
      </c>
      <c r="G56" s="327">
        <f t="shared" si="36"/>
        <v>4.5901639344262293</v>
      </c>
      <c r="H56" s="327">
        <f t="shared" si="36"/>
        <v>2.2950819672131146</v>
      </c>
      <c r="I56" s="327">
        <f t="shared" si="36"/>
        <v>1.6830601092896174</v>
      </c>
      <c r="J56" s="327">
        <f t="shared" si="36"/>
        <v>0.45901639344262296</v>
      </c>
      <c r="K56" s="327">
        <f t="shared" si="36"/>
        <v>0.15300546448087432</v>
      </c>
      <c r="L56" s="327">
        <f t="shared" si="36"/>
        <v>0</v>
      </c>
      <c r="M56" s="327">
        <f t="shared" si="36"/>
        <v>0.22950819672131148</v>
      </c>
      <c r="N56" s="327">
        <f t="shared" si="36"/>
        <v>1.1475409836065573</v>
      </c>
      <c r="O56" s="327">
        <f t="shared" si="36"/>
        <v>7.650273224043716E-2</v>
      </c>
      <c r="P56" s="327">
        <f t="shared" si="36"/>
        <v>2.3715846994535519</v>
      </c>
      <c r="Q56" s="327">
        <f t="shared" si="36"/>
        <v>0.30601092896174864</v>
      </c>
      <c r="R56" s="327">
        <f t="shared" ref="R56:S56" si="37">R21/365*28</f>
        <v>7.6712328767123292E-2</v>
      </c>
      <c r="S56" s="327">
        <f t="shared" si="37"/>
        <v>1.8410958904109587</v>
      </c>
    </row>
    <row r="57" spans="1:19" x14ac:dyDescent="0.2">
      <c r="A57" t="s">
        <v>142</v>
      </c>
      <c r="B57" s="327">
        <f t="shared" ref="B57:Q57" si="38">B22/366*28</f>
        <v>2.2950819672131146</v>
      </c>
      <c r="C57" s="327">
        <f t="shared" si="38"/>
        <v>1.3770491803278688</v>
      </c>
      <c r="D57" s="327">
        <f t="shared" si="38"/>
        <v>0.61202185792349728</v>
      </c>
      <c r="E57" s="327">
        <f t="shared" si="38"/>
        <v>0.53551912568306015</v>
      </c>
      <c r="F57" s="327">
        <f t="shared" si="38"/>
        <v>7.650273224043716E-2</v>
      </c>
      <c r="G57" s="327">
        <f t="shared" si="38"/>
        <v>5.8142076502732243</v>
      </c>
      <c r="H57" s="327">
        <f t="shared" si="38"/>
        <v>2.9836065573770489</v>
      </c>
      <c r="I57" s="327">
        <f t="shared" si="38"/>
        <v>2.2950819672131146</v>
      </c>
      <c r="J57" s="327">
        <f t="shared" si="38"/>
        <v>0.68852459016393441</v>
      </c>
      <c r="K57" s="327">
        <f t="shared" si="38"/>
        <v>0.45901639344262296</v>
      </c>
      <c r="L57" s="327">
        <f t="shared" si="38"/>
        <v>7.650273224043716E-2</v>
      </c>
      <c r="M57" s="327">
        <f t="shared" si="38"/>
        <v>0.22950819672131148</v>
      </c>
      <c r="N57" s="327">
        <f t="shared" si="38"/>
        <v>4.5136612021857925</v>
      </c>
      <c r="O57" s="327">
        <f t="shared" si="38"/>
        <v>0.22950819672131148</v>
      </c>
      <c r="P57" s="327">
        <f t="shared" si="38"/>
        <v>8.9508196721311482</v>
      </c>
      <c r="Q57" s="327">
        <f t="shared" si="38"/>
        <v>0.91803278688524592</v>
      </c>
      <c r="R57" s="327">
        <f t="shared" ref="R57:S57" si="39">R22/365*28</f>
        <v>0</v>
      </c>
      <c r="S57" s="327">
        <f t="shared" si="39"/>
        <v>7.5945205479452049</v>
      </c>
    </row>
    <row r="58" spans="1:19" x14ac:dyDescent="0.2">
      <c r="A58" t="s">
        <v>143</v>
      </c>
      <c r="B58" s="327">
        <f t="shared" ref="B58:Q58" si="40">B23/366*28</f>
        <v>1.1475409836065573</v>
      </c>
      <c r="C58" s="327">
        <f t="shared" si="40"/>
        <v>1.1475409836065573</v>
      </c>
      <c r="D58" s="327">
        <f t="shared" si="40"/>
        <v>0.76502732240437155</v>
      </c>
      <c r="E58" s="327">
        <f t="shared" si="40"/>
        <v>7.650273224043716E-2</v>
      </c>
      <c r="F58" s="327">
        <f t="shared" si="40"/>
        <v>0.22950819672131148</v>
      </c>
      <c r="G58" s="327">
        <f t="shared" si="40"/>
        <v>2.7540983606557377</v>
      </c>
      <c r="H58" s="327">
        <f t="shared" si="40"/>
        <v>2.9071038251366121</v>
      </c>
      <c r="I58" s="327">
        <f t="shared" si="40"/>
        <v>1.3005464480874318</v>
      </c>
      <c r="J58" s="327">
        <f t="shared" si="40"/>
        <v>0.45901639344262296</v>
      </c>
      <c r="K58" s="327">
        <f t="shared" si="40"/>
        <v>0.15300546448087432</v>
      </c>
      <c r="L58" s="327">
        <f t="shared" si="40"/>
        <v>0.30601092896174864</v>
      </c>
      <c r="M58" s="327">
        <f t="shared" si="40"/>
        <v>7.650273224043716E-2</v>
      </c>
      <c r="N58" s="327">
        <f t="shared" si="40"/>
        <v>2.1420765027322406</v>
      </c>
      <c r="O58" s="327">
        <f t="shared" si="40"/>
        <v>7.650273224043716E-2</v>
      </c>
      <c r="P58" s="327">
        <f t="shared" si="40"/>
        <v>25.62841530054645</v>
      </c>
      <c r="Q58" s="327">
        <f t="shared" si="40"/>
        <v>0.53551912568306015</v>
      </c>
      <c r="R58" s="327">
        <f t="shared" ref="R58:S58" si="41">R23/365*28</f>
        <v>0</v>
      </c>
      <c r="S58" s="327">
        <f t="shared" si="41"/>
        <v>5.3698630136986303</v>
      </c>
    </row>
    <row r="59" spans="1:19" x14ac:dyDescent="0.2">
      <c r="A59" t="s">
        <v>144</v>
      </c>
      <c r="B59" s="327">
        <f t="shared" ref="B59:Q59" si="42">B24/366*28</f>
        <v>2.1420765027322406</v>
      </c>
      <c r="C59" s="327">
        <f t="shared" si="42"/>
        <v>0.22950819672131148</v>
      </c>
      <c r="D59" s="327">
        <f t="shared" si="42"/>
        <v>0.22950819672131148</v>
      </c>
      <c r="E59" s="327">
        <f t="shared" si="42"/>
        <v>0.53551912568306015</v>
      </c>
      <c r="F59" s="327">
        <f t="shared" si="42"/>
        <v>7.650273224043716E-2</v>
      </c>
      <c r="G59" s="327">
        <f t="shared" si="42"/>
        <v>4.1311475409836067</v>
      </c>
      <c r="H59" s="327">
        <f t="shared" si="42"/>
        <v>2.7540983606557377</v>
      </c>
      <c r="I59" s="327">
        <f t="shared" si="42"/>
        <v>1.6065573770491803</v>
      </c>
      <c r="J59" s="327">
        <f t="shared" si="42"/>
        <v>0.61202185792349728</v>
      </c>
      <c r="K59" s="327">
        <f t="shared" si="42"/>
        <v>0.22950819672131148</v>
      </c>
      <c r="L59" s="327">
        <f t="shared" si="42"/>
        <v>0.15300546448087432</v>
      </c>
      <c r="M59" s="327">
        <f t="shared" si="42"/>
        <v>0.22950819672131148</v>
      </c>
      <c r="N59" s="327">
        <f t="shared" si="42"/>
        <v>3.7486338797814209</v>
      </c>
      <c r="O59" s="327">
        <f t="shared" si="42"/>
        <v>7.650273224043716E-2</v>
      </c>
      <c r="P59" s="327">
        <f t="shared" si="42"/>
        <v>1.0710382513661203</v>
      </c>
      <c r="Q59" s="327">
        <f t="shared" si="42"/>
        <v>0.22950819672131148</v>
      </c>
      <c r="R59" s="327">
        <f t="shared" ref="R59:S59" si="43">R24/365*28</f>
        <v>0</v>
      </c>
      <c r="S59" s="327">
        <f t="shared" si="43"/>
        <v>8.2082191780821923</v>
      </c>
    </row>
    <row r="60" spans="1:19" x14ac:dyDescent="0.2">
      <c r="A60" t="s">
        <v>145</v>
      </c>
      <c r="B60" s="327">
        <f t="shared" ref="B60:Q60" si="44">B25/366*28</f>
        <v>0.38251366120218577</v>
      </c>
      <c r="C60" s="327">
        <f t="shared" si="44"/>
        <v>0</v>
      </c>
      <c r="D60" s="327">
        <f t="shared" si="44"/>
        <v>0</v>
      </c>
      <c r="E60" s="327">
        <f t="shared" si="44"/>
        <v>0</v>
      </c>
      <c r="F60" s="327">
        <f t="shared" si="44"/>
        <v>7.650273224043716E-2</v>
      </c>
      <c r="G60" s="327">
        <f t="shared" si="44"/>
        <v>0.68852459016393441</v>
      </c>
      <c r="H60" s="327">
        <f t="shared" si="44"/>
        <v>0.22950819672131148</v>
      </c>
      <c r="I60" s="327">
        <f t="shared" si="44"/>
        <v>0.30601092896174864</v>
      </c>
      <c r="J60" s="327">
        <f t="shared" si="44"/>
        <v>7.650273224043716E-2</v>
      </c>
      <c r="K60" s="327">
        <f t="shared" si="44"/>
        <v>0.22950819672131148</v>
      </c>
      <c r="L60" s="327">
        <f t="shared" si="44"/>
        <v>0</v>
      </c>
      <c r="M60" s="327">
        <f t="shared" si="44"/>
        <v>0</v>
      </c>
      <c r="N60" s="327">
        <f t="shared" si="44"/>
        <v>1.3770491803278688</v>
      </c>
      <c r="O60" s="327">
        <f t="shared" si="44"/>
        <v>0</v>
      </c>
      <c r="P60" s="327">
        <f t="shared" si="44"/>
        <v>0</v>
      </c>
      <c r="Q60" s="327">
        <f t="shared" si="44"/>
        <v>0.15300546448087432</v>
      </c>
      <c r="R60" s="327">
        <f t="shared" ref="R60:S60" si="45">R25/365*28</f>
        <v>0</v>
      </c>
      <c r="S60" s="327">
        <f t="shared" si="45"/>
        <v>4.2191780821917808</v>
      </c>
    </row>
    <row r="61" spans="1:19" x14ac:dyDescent="0.2">
      <c r="A61" t="s">
        <v>146</v>
      </c>
      <c r="B61" s="327">
        <f t="shared" ref="B61:Q61" si="46">B26/366*28</f>
        <v>1.1475409836065573</v>
      </c>
      <c r="C61" s="327">
        <f t="shared" si="46"/>
        <v>0</v>
      </c>
      <c r="D61" s="327">
        <f t="shared" si="46"/>
        <v>0.38251366120218577</v>
      </c>
      <c r="E61" s="327">
        <f t="shared" si="46"/>
        <v>0.22950819672131148</v>
      </c>
      <c r="F61" s="327">
        <f t="shared" si="46"/>
        <v>0</v>
      </c>
      <c r="G61" s="327">
        <f t="shared" si="46"/>
        <v>1.9890710382513661</v>
      </c>
      <c r="H61" s="327">
        <f t="shared" si="46"/>
        <v>1.6065573770491803</v>
      </c>
      <c r="I61" s="327">
        <f t="shared" si="46"/>
        <v>1.5300546448087431</v>
      </c>
      <c r="J61" s="327">
        <f t="shared" si="46"/>
        <v>7.650273224043716E-2</v>
      </c>
      <c r="K61" s="327">
        <f t="shared" si="46"/>
        <v>0.38251366120218577</v>
      </c>
      <c r="L61" s="327">
        <f t="shared" si="46"/>
        <v>0.15300546448087432</v>
      </c>
      <c r="M61" s="327">
        <f t="shared" si="46"/>
        <v>7.650273224043716E-2</v>
      </c>
      <c r="N61" s="327">
        <f t="shared" si="46"/>
        <v>1.8360655737704918</v>
      </c>
      <c r="O61" s="327">
        <f t="shared" si="46"/>
        <v>0</v>
      </c>
      <c r="P61" s="327">
        <f t="shared" si="46"/>
        <v>10.863387978142075</v>
      </c>
      <c r="Q61" s="327">
        <f t="shared" si="46"/>
        <v>0.30601092896174864</v>
      </c>
      <c r="R61" s="327">
        <f t="shared" ref="R61:S61" si="47">R26/365*28</f>
        <v>0</v>
      </c>
      <c r="S61" s="327">
        <f t="shared" si="47"/>
        <v>7.978082191780822</v>
      </c>
    </row>
    <row r="62" spans="1:19" x14ac:dyDescent="0.2">
      <c r="A62" t="s">
        <v>147</v>
      </c>
      <c r="B62" s="327">
        <f t="shared" ref="B62:Q62" si="48">B27/366*28</f>
        <v>3.1366120218579234</v>
      </c>
      <c r="C62" s="327">
        <f t="shared" si="48"/>
        <v>1.1475409836065573</v>
      </c>
      <c r="D62" s="327">
        <f t="shared" si="48"/>
        <v>0.38251366120218577</v>
      </c>
      <c r="E62" s="327">
        <f t="shared" si="48"/>
        <v>1.6065573770491803</v>
      </c>
      <c r="F62" s="327">
        <f t="shared" si="48"/>
        <v>0.15300546448087432</v>
      </c>
      <c r="G62" s="327">
        <f t="shared" si="48"/>
        <v>5.7377049180327866</v>
      </c>
      <c r="H62" s="327">
        <f t="shared" si="48"/>
        <v>4.1311475409836067</v>
      </c>
      <c r="I62" s="327">
        <f t="shared" si="48"/>
        <v>2.0655737704918034</v>
      </c>
      <c r="J62" s="327">
        <f t="shared" si="48"/>
        <v>0.68852459016393441</v>
      </c>
      <c r="K62" s="327">
        <f t="shared" si="48"/>
        <v>0.45901639344262296</v>
      </c>
      <c r="L62" s="327">
        <f t="shared" si="48"/>
        <v>0.15300546448087432</v>
      </c>
      <c r="M62" s="327">
        <f t="shared" si="48"/>
        <v>0.15300546448087432</v>
      </c>
      <c r="N62" s="327">
        <f t="shared" si="48"/>
        <v>6.8087431693989071</v>
      </c>
      <c r="O62" s="327">
        <f t="shared" si="48"/>
        <v>0.30601092896174864</v>
      </c>
      <c r="P62" s="327">
        <f t="shared" si="48"/>
        <v>13.693989071038251</v>
      </c>
      <c r="Q62" s="327">
        <f t="shared" si="48"/>
        <v>1.5300546448087431</v>
      </c>
      <c r="R62" s="327">
        <f t="shared" ref="R62:S62" si="49">R27/365*28</f>
        <v>10.816438356164385</v>
      </c>
      <c r="S62" s="327">
        <f t="shared" si="49"/>
        <v>20.865753424657534</v>
      </c>
    </row>
    <row r="63" spans="1:19" x14ac:dyDescent="0.2">
      <c r="A63" t="s">
        <v>148</v>
      </c>
      <c r="B63" s="327">
        <f t="shared" ref="B63:Q63" si="50">B28/366*28</f>
        <v>1.3770491803278688</v>
      </c>
      <c r="C63" s="327">
        <f t="shared" si="50"/>
        <v>7.650273224043716E-2</v>
      </c>
      <c r="D63" s="327">
        <f t="shared" si="50"/>
        <v>0.15300546448087432</v>
      </c>
      <c r="E63" s="327">
        <f t="shared" si="50"/>
        <v>0.30601092896174864</v>
      </c>
      <c r="F63" s="327">
        <f t="shared" si="50"/>
        <v>0.15300546448087432</v>
      </c>
      <c r="G63" s="327">
        <f t="shared" si="50"/>
        <v>1.9125683060109291</v>
      </c>
      <c r="H63" s="327">
        <f t="shared" si="50"/>
        <v>3.1366120218579234</v>
      </c>
      <c r="I63" s="327">
        <f t="shared" si="50"/>
        <v>0.68852459016393441</v>
      </c>
      <c r="J63" s="327">
        <f t="shared" si="50"/>
        <v>0.53551912568306015</v>
      </c>
      <c r="K63" s="327">
        <f t="shared" si="50"/>
        <v>0.15300546448087432</v>
      </c>
      <c r="L63" s="327">
        <f t="shared" si="50"/>
        <v>0.15300546448087432</v>
      </c>
      <c r="M63" s="327">
        <f t="shared" si="50"/>
        <v>0</v>
      </c>
      <c r="N63" s="327">
        <f t="shared" si="50"/>
        <v>2.6010928961748636</v>
      </c>
      <c r="O63" s="327">
        <f t="shared" si="50"/>
        <v>7.650273224043716E-2</v>
      </c>
      <c r="P63" s="327">
        <f t="shared" si="50"/>
        <v>0.22950819672131148</v>
      </c>
      <c r="Q63" s="327">
        <f t="shared" si="50"/>
        <v>0.53551912568306015</v>
      </c>
      <c r="R63" s="327">
        <f t="shared" ref="R63:S63" si="51">R28/365*28</f>
        <v>0</v>
      </c>
      <c r="S63" s="327">
        <f t="shared" si="51"/>
        <v>6.2904109589041095</v>
      </c>
    </row>
    <row r="64" spans="1:19" x14ac:dyDescent="0.2">
      <c r="A64" t="s">
        <v>149</v>
      </c>
      <c r="B64" s="327">
        <f t="shared" ref="B64:Q64" si="52">B29/366*28</f>
        <v>1.7595628415300546</v>
      </c>
      <c r="C64" s="327">
        <f t="shared" si="52"/>
        <v>0.22950819672131148</v>
      </c>
      <c r="D64" s="327">
        <f t="shared" si="52"/>
        <v>7.650273224043716E-2</v>
      </c>
      <c r="E64" s="327">
        <f t="shared" si="52"/>
        <v>0.99453551912568305</v>
      </c>
      <c r="F64" s="327">
        <f t="shared" si="52"/>
        <v>7.650273224043716E-2</v>
      </c>
      <c r="G64" s="327">
        <f t="shared" si="52"/>
        <v>2.6775956284153004</v>
      </c>
      <c r="H64" s="327">
        <f t="shared" si="52"/>
        <v>2.5245901639344264</v>
      </c>
      <c r="I64" s="327">
        <f t="shared" si="52"/>
        <v>1.5300546448087431</v>
      </c>
      <c r="J64" s="327">
        <f t="shared" si="52"/>
        <v>0.61202185792349728</v>
      </c>
      <c r="K64" s="327">
        <f t="shared" si="52"/>
        <v>0.30601092896174864</v>
      </c>
      <c r="L64" s="327">
        <f t="shared" si="52"/>
        <v>0.15300546448087432</v>
      </c>
      <c r="M64" s="327">
        <f t="shared" si="52"/>
        <v>0</v>
      </c>
      <c r="N64" s="327">
        <f t="shared" si="52"/>
        <v>3.5191256830601092</v>
      </c>
      <c r="O64" s="327">
        <f t="shared" si="52"/>
        <v>7.650273224043716E-2</v>
      </c>
      <c r="P64" s="327">
        <f t="shared" si="52"/>
        <v>0.91803278688524592</v>
      </c>
      <c r="Q64" s="327">
        <f t="shared" si="52"/>
        <v>0.45901639344262296</v>
      </c>
      <c r="R64" s="327">
        <f t="shared" ref="R64:S64" si="53">R29/365*28</f>
        <v>0.76712328767123283</v>
      </c>
      <c r="S64" s="327">
        <f t="shared" si="53"/>
        <v>15.035616438356165</v>
      </c>
    </row>
    <row r="65" spans="1:19" x14ac:dyDescent="0.2">
      <c r="A65" t="s">
        <v>150</v>
      </c>
      <c r="B65" s="327">
        <f t="shared" ref="B65:Q65" si="54">B30/366*28</f>
        <v>2.8306010928961749</v>
      </c>
      <c r="C65" s="327">
        <f t="shared" si="54"/>
        <v>0.15300546448087432</v>
      </c>
      <c r="D65" s="327">
        <f t="shared" si="54"/>
        <v>0.53551912568306015</v>
      </c>
      <c r="E65" s="327">
        <f t="shared" si="54"/>
        <v>0.68852459016393441</v>
      </c>
      <c r="F65" s="327">
        <f t="shared" si="54"/>
        <v>7.650273224043716E-2</v>
      </c>
      <c r="G65" s="327">
        <f t="shared" si="54"/>
        <v>4.6666666666666661</v>
      </c>
      <c r="H65" s="327">
        <f t="shared" si="54"/>
        <v>2.2185792349726778</v>
      </c>
      <c r="I65" s="327">
        <f t="shared" si="54"/>
        <v>0.99453551912568305</v>
      </c>
      <c r="J65" s="327">
        <f t="shared" si="54"/>
        <v>0.61202185792349728</v>
      </c>
      <c r="K65" s="327">
        <f t="shared" si="54"/>
        <v>0.22950819672131148</v>
      </c>
      <c r="L65" s="327">
        <f t="shared" si="54"/>
        <v>0</v>
      </c>
      <c r="M65" s="327">
        <f t="shared" si="54"/>
        <v>7.650273224043716E-2</v>
      </c>
      <c r="N65" s="327">
        <f t="shared" si="54"/>
        <v>6.1202185792349724</v>
      </c>
      <c r="O65" s="327">
        <f t="shared" si="54"/>
        <v>0</v>
      </c>
      <c r="P65" s="327">
        <f t="shared" si="54"/>
        <v>1.9890710382513661</v>
      </c>
      <c r="Q65" s="327">
        <f t="shared" si="54"/>
        <v>0.76502732240437155</v>
      </c>
      <c r="R65" s="327">
        <f t="shared" ref="R65:S65" si="55">R30/365*28</f>
        <v>0</v>
      </c>
      <c r="S65" s="327">
        <f t="shared" si="55"/>
        <v>10.663013698630136</v>
      </c>
    </row>
    <row r="66" spans="1:19" x14ac:dyDescent="0.2">
      <c r="A66" t="s">
        <v>151</v>
      </c>
      <c r="B66" s="327">
        <f t="shared" ref="B66:Q66" si="56">B31/366*28</f>
        <v>1.5300546448087431</v>
      </c>
      <c r="C66" s="327">
        <f t="shared" si="56"/>
        <v>0.22950819672131148</v>
      </c>
      <c r="D66" s="327">
        <f t="shared" si="56"/>
        <v>7.650273224043716E-2</v>
      </c>
      <c r="E66" s="327">
        <f t="shared" si="56"/>
        <v>0.22950819672131148</v>
      </c>
      <c r="F66" s="327">
        <f t="shared" si="56"/>
        <v>0</v>
      </c>
      <c r="G66" s="327">
        <f t="shared" si="56"/>
        <v>4.2076502732240435</v>
      </c>
      <c r="H66" s="327">
        <f t="shared" si="56"/>
        <v>3.6721311475409837</v>
      </c>
      <c r="I66" s="327">
        <f t="shared" si="56"/>
        <v>2.6010928961748636</v>
      </c>
      <c r="J66" s="327">
        <f t="shared" si="56"/>
        <v>0.45901639344262296</v>
      </c>
      <c r="K66" s="327">
        <f t="shared" si="56"/>
        <v>1.0710382513661203</v>
      </c>
      <c r="L66" s="327">
        <f t="shared" si="56"/>
        <v>0.38251366120218577</v>
      </c>
      <c r="M66" s="327">
        <f t="shared" si="56"/>
        <v>7.650273224043716E-2</v>
      </c>
      <c r="N66" s="327">
        <f t="shared" si="56"/>
        <v>3.9781420765027322</v>
      </c>
      <c r="O66" s="327">
        <f t="shared" si="56"/>
        <v>0</v>
      </c>
      <c r="P66" s="327">
        <f t="shared" si="56"/>
        <v>6.1202185792349724</v>
      </c>
      <c r="Q66" s="327">
        <f t="shared" si="56"/>
        <v>7.650273224043716E-2</v>
      </c>
      <c r="R66" s="327">
        <f t="shared" ref="R66:S66" si="57">R31/365*28</f>
        <v>0</v>
      </c>
      <c r="S66" s="327">
        <f t="shared" si="57"/>
        <v>5.2931506849315069</v>
      </c>
    </row>
    <row r="67" spans="1:19" x14ac:dyDescent="0.2">
      <c r="A67" t="s">
        <v>152</v>
      </c>
      <c r="B67" s="327">
        <f t="shared" ref="B67:Q67" si="58">B32/366*28</f>
        <v>7.650273224043716E-2</v>
      </c>
      <c r="C67" s="327">
        <f t="shared" si="58"/>
        <v>7.650273224043716E-2</v>
      </c>
      <c r="D67" s="327">
        <f t="shared" si="58"/>
        <v>0</v>
      </c>
      <c r="E67" s="327">
        <f t="shared" si="58"/>
        <v>0.30601092896174864</v>
      </c>
      <c r="F67" s="327">
        <f t="shared" si="58"/>
        <v>0</v>
      </c>
      <c r="G67" s="327">
        <f t="shared" si="58"/>
        <v>0.53551912568306015</v>
      </c>
      <c r="H67" s="327">
        <f t="shared" si="58"/>
        <v>0.15300546448087432</v>
      </c>
      <c r="I67" s="327">
        <f t="shared" si="58"/>
        <v>0.30601092896174864</v>
      </c>
      <c r="J67" s="327">
        <f t="shared" si="58"/>
        <v>7.650273224043716E-2</v>
      </c>
      <c r="K67" s="327">
        <f t="shared" si="58"/>
        <v>0.15300546448087432</v>
      </c>
      <c r="L67" s="327">
        <f t="shared" si="58"/>
        <v>0</v>
      </c>
      <c r="M67" s="327">
        <f t="shared" si="58"/>
        <v>0</v>
      </c>
      <c r="N67" s="327">
        <f t="shared" si="58"/>
        <v>1.2240437158469946</v>
      </c>
      <c r="O67" s="327">
        <f t="shared" si="58"/>
        <v>0</v>
      </c>
      <c r="P67" s="327">
        <f t="shared" si="58"/>
        <v>0</v>
      </c>
      <c r="Q67" s="327">
        <f t="shared" si="58"/>
        <v>0</v>
      </c>
      <c r="R67" s="327">
        <f t="shared" ref="R67:S67" si="59">R32/365*28</f>
        <v>0</v>
      </c>
      <c r="S67" s="327">
        <f t="shared" si="59"/>
        <v>3.989041095890411</v>
      </c>
    </row>
    <row r="68" spans="1:19" x14ac:dyDescent="0.2">
      <c r="A68" s="24">
        <v>61</v>
      </c>
      <c r="B68" s="327">
        <f t="shared" ref="B68:S68" si="60">B33/366*28</f>
        <v>1.3770491803278688</v>
      </c>
      <c r="C68" s="327">
        <f t="shared" si="60"/>
        <v>0.76502732240437155</v>
      </c>
      <c r="D68" s="327">
        <f t="shared" si="60"/>
        <v>7.650273224043716E-2</v>
      </c>
      <c r="E68" s="327">
        <f t="shared" si="60"/>
        <v>0.22950819672131148</v>
      </c>
      <c r="F68" s="327">
        <f t="shared" si="60"/>
        <v>0</v>
      </c>
      <c r="G68" s="327">
        <f t="shared" si="60"/>
        <v>5.6612021857923498</v>
      </c>
      <c r="H68" s="327">
        <f t="shared" si="60"/>
        <v>2.7540983606557377</v>
      </c>
      <c r="I68" s="327">
        <f t="shared" si="60"/>
        <v>2.8306010928961749</v>
      </c>
      <c r="J68" s="327">
        <f t="shared" si="60"/>
        <v>0.45901639344262296</v>
      </c>
      <c r="K68" s="327">
        <f t="shared" si="60"/>
        <v>0.76502732240437155</v>
      </c>
      <c r="L68" s="327">
        <f t="shared" si="60"/>
        <v>0.15300546448087432</v>
      </c>
      <c r="M68" s="327">
        <f t="shared" si="60"/>
        <v>0</v>
      </c>
      <c r="N68" s="327">
        <f t="shared" si="60"/>
        <v>4.2841530054644812</v>
      </c>
      <c r="O68" s="327">
        <f t="shared" si="60"/>
        <v>0</v>
      </c>
      <c r="P68" s="327">
        <f t="shared" si="60"/>
        <v>7.7267759562841523</v>
      </c>
      <c r="Q68" s="327">
        <f t="shared" si="60"/>
        <v>0.22950819672131148</v>
      </c>
      <c r="R68" s="327">
        <f t="shared" si="60"/>
        <v>0</v>
      </c>
      <c r="S68" s="327">
        <f t="shared" si="60"/>
        <v>4.4371584699453557</v>
      </c>
    </row>
    <row r="69" spans="1:19" x14ac:dyDescent="0.2">
      <c r="A69" s="24">
        <v>62</v>
      </c>
      <c r="B69" s="327">
        <f t="shared" ref="B69:S69" si="61">B34/366*28</f>
        <v>2.3715846994535519</v>
      </c>
      <c r="C69" s="327">
        <f t="shared" si="61"/>
        <v>1.2240437158469946</v>
      </c>
      <c r="D69" s="327">
        <f t="shared" si="61"/>
        <v>7.650273224043716E-2</v>
      </c>
      <c r="E69" s="327">
        <f t="shared" si="61"/>
        <v>0.99453551912568305</v>
      </c>
      <c r="F69" s="327">
        <f t="shared" si="61"/>
        <v>0.22950819672131148</v>
      </c>
      <c r="G69" s="327">
        <f t="shared" si="61"/>
        <v>5.0491803278688527</v>
      </c>
      <c r="H69" s="327">
        <f t="shared" si="61"/>
        <v>3.2131147540983607</v>
      </c>
      <c r="I69" s="327">
        <f t="shared" si="61"/>
        <v>2.2950819672131146</v>
      </c>
      <c r="J69" s="327">
        <f t="shared" si="61"/>
        <v>0.91803278688524592</v>
      </c>
      <c r="K69" s="327">
        <f t="shared" si="61"/>
        <v>0.38251366120218577</v>
      </c>
      <c r="L69" s="327">
        <f t="shared" si="61"/>
        <v>0.38251366120218577</v>
      </c>
      <c r="M69" s="327">
        <f t="shared" si="61"/>
        <v>0.15300546448087432</v>
      </c>
      <c r="N69" s="327">
        <f t="shared" si="61"/>
        <v>8.6448087431693992</v>
      </c>
      <c r="O69" s="327">
        <f t="shared" si="61"/>
        <v>0.15300546448087432</v>
      </c>
      <c r="P69" s="327">
        <f t="shared" si="61"/>
        <v>1.3005464480874318</v>
      </c>
      <c r="Q69" s="327">
        <f t="shared" si="61"/>
        <v>0.38251366120218577</v>
      </c>
      <c r="R69" s="327">
        <f t="shared" si="61"/>
        <v>0</v>
      </c>
      <c r="S69" s="327">
        <f t="shared" si="61"/>
        <v>13.846994535519126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W65"/>
  <sheetViews>
    <sheetView topLeftCell="A10" zoomScaleNormal="100" workbookViewId="0">
      <selection activeCell="T39" sqref="T39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28"/>
  </cols>
  <sheetData>
    <row r="1" spans="1:22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1" t="s">
        <v>91</v>
      </c>
      <c r="T1" s="541" t="s">
        <v>91</v>
      </c>
    </row>
    <row r="2" spans="1:22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544" t="s">
        <v>90</v>
      </c>
      <c r="T2" s="542">
        <v>53</v>
      </c>
    </row>
    <row r="3" spans="1:22" s="464" customFormat="1" ht="15" x14ac:dyDescent="0.25">
      <c r="A3" s="463">
        <v>11</v>
      </c>
      <c r="B3" s="619">
        <v>2</v>
      </c>
      <c r="C3" s="619">
        <v>0</v>
      </c>
      <c r="D3" s="619">
        <v>0</v>
      </c>
      <c r="E3" s="619">
        <v>0</v>
      </c>
      <c r="F3" s="619"/>
      <c r="G3" s="619">
        <v>1</v>
      </c>
      <c r="H3" s="619">
        <v>1</v>
      </c>
      <c r="I3" s="619">
        <v>0</v>
      </c>
      <c r="J3" s="619">
        <v>0</v>
      </c>
      <c r="K3" s="619">
        <v>0</v>
      </c>
      <c r="L3" s="619">
        <v>0</v>
      </c>
      <c r="M3" s="619">
        <v>0</v>
      </c>
      <c r="N3" s="619">
        <v>1</v>
      </c>
      <c r="O3" s="619"/>
      <c r="P3" s="619">
        <v>0</v>
      </c>
      <c r="Q3" s="619">
        <v>1</v>
      </c>
      <c r="R3" s="463"/>
      <c r="S3" s="327"/>
      <c r="T3" s="327"/>
    </row>
    <row r="4" spans="1:22" s="464" customFormat="1" ht="15" x14ac:dyDescent="0.25">
      <c r="A4" s="463">
        <v>12</v>
      </c>
      <c r="B4" s="619">
        <v>0</v>
      </c>
      <c r="C4" s="619">
        <v>0</v>
      </c>
      <c r="D4" s="619">
        <v>0</v>
      </c>
      <c r="E4" s="619">
        <v>0</v>
      </c>
      <c r="F4" s="619"/>
      <c r="G4" s="619">
        <v>1</v>
      </c>
      <c r="H4" s="619">
        <v>1</v>
      </c>
      <c r="I4" s="619">
        <v>0</v>
      </c>
      <c r="J4" s="619">
        <v>0</v>
      </c>
      <c r="K4" s="619">
        <v>0</v>
      </c>
      <c r="L4" s="619">
        <v>0</v>
      </c>
      <c r="M4" s="619">
        <v>0</v>
      </c>
      <c r="N4" s="619">
        <v>1</v>
      </c>
      <c r="O4" s="619"/>
      <c r="P4" s="619">
        <v>1</v>
      </c>
      <c r="Q4" s="619">
        <v>0</v>
      </c>
      <c r="R4" s="463"/>
      <c r="S4" s="327"/>
      <c r="T4" s="327">
        <v>1</v>
      </c>
    </row>
    <row r="5" spans="1:22" s="464" customFormat="1" ht="15" x14ac:dyDescent="0.25">
      <c r="A5" s="463">
        <v>13</v>
      </c>
      <c r="B5" s="619">
        <v>0</v>
      </c>
      <c r="C5" s="619">
        <v>0</v>
      </c>
      <c r="D5" s="619">
        <v>0</v>
      </c>
      <c r="E5" s="619">
        <v>0</v>
      </c>
      <c r="F5" s="619"/>
      <c r="G5" s="619">
        <v>0</v>
      </c>
      <c r="H5" s="619">
        <v>0</v>
      </c>
      <c r="I5" s="619">
        <v>0</v>
      </c>
      <c r="J5" s="619">
        <v>1</v>
      </c>
      <c r="K5" s="619">
        <v>0</v>
      </c>
      <c r="L5" s="619">
        <v>0</v>
      </c>
      <c r="M5" s="619">
        <v>0</v>
      </c>
      <c r="N5" s="619">
        <v>1</v>
      </c>
      <c r="O5" s="619"/>
      <c r="P5" s="619">
        <v>1</v>
      </c>
      <c r="Q5" s="619">
        <v>0</v>
      </c>
      <c r="R5" s="463"/>
      <c r="S5" s="327"/>
      <c r="T5" s="327">
        <v>1</v>
      </c>
    </row>
    <row r="6" spans="1:22" s="464" customFormat="1" ht="15" x14ac:dyDescent="0.25">
      <c r="A6" s="463">
        <v>14</v>
      </c>
      <c r="B6" s="619">
        <v>1</v>
      </c>
      <c r="C6" s="619">
        <v>0</v>
      </c>
      <c r="D6" s="619">
        <v>0</v>
      </c>
      <c r="E6" s="619">
        <v>0</v>
      </c>
      <c r="F6" s="619"/>
      <c r="G6" s="619">
        <v>1</v>
      </c>
      <c r="H6" s="619">
        <v>2</v>
      </c>
      <c r="I6" s="619">
        <v>0</v>
      </c>
      <c r="J6" s="619">
        <v>0</v>
      </c>
      <c r="K6" s="619">
        <v>0</v>
      </c>
      <c r="L6" s="619">
        <v>0</v>
      </c>
      <c r="M6" s="619">
        <v>0</v>
      </c>
      <c r="N6" s="619">
        <v>2</v>
      </c>
      <c r="O6" s="619"/>
      <c r="P6" s="619">
        <v>0</v>
      </c>
      <c r="Q6" s="619">
        <v>0</v>
      </c>
      <c r="R6" s="463"/>
      <c r="S6" s="327"/>
      <c r="T6" s="327"/>
    </row>
    <row r="7" spans="1:22" s="464" customFormat="1" ht="15" x14ac:dyDescent="0.25">
      <c r="A7" s="463">
        <v>15</v>
      </c>
      <c r="B7" s="619">
        <v>0</v>
      </c>
      <c r="C7" s="619">
        <v>0</v>
      </c>
      <c r="D7" s="619">
        <v>0</v>
      </c>
      <c r="E7" s="619">
        <v>2</v>
      </c>
      <c r="F7" s="619"/>
      <c r="G7" s="619">
        <v>1</v>
      </c>
      <c r="H7" s="619">
        <v>0</v>
      </c>
      <c r="I7" s="619">
        <v>1</v>
      </c>
      <c r="J7" s="619">
        <v>0</v>
      </c>
      <c r="K7" s="619">
        <v>0</v>
      </c>
      <c r="L7" s="619">
        <v>0</v>
      </c>
      <c r="M7" s="619">
        <v>0</v>
      </c>
      <c r="N7" s="619">
        <v>0</v>
      </c>
      <c r="O7" s="619"/>
      <c r="P7" s="619">
        <v>0</v>
      </c>
      <c r="Q7" s="619">
        <v>0</v>
      </c>
      <c r="R7" s="463"/>
      <c r="S7" s="327"/>
      <c r="T7" s="327">
        <v>2</v>
      </c>
    </row>
    <row r="8" spans="1:22" s="464" customFormat="1" ht="15" x14ac:dyDescent="0.25">
      <c r="A8" s="463">
        <v>16</v>
      </c>
      <c r="B8" s="619">
        <v>1</v>
      </c>
      <c r="C8" s="619">
        <v>1</v>
      </c>
      <c r="D8" s="619">
        <v>0</v>
      </c>
      <c r="E8" s="619">
        <v>0</v>
      </c>
      <c r="F8" s="619"/>
      <c r="G8" s="619">
        <v>0</v>
      </c>
      <c r="H8" s="619">
        <v>1</v>
      </c>
      <c r="I8" s="619">
        <v>1</v>
      </c>
      <c r="J8" s="619">
        <v>0</v>
      </c>
      <c r="K8" s="619">
        <v>0</v>
      </c>
      <c r="L8" s="619">
        <v>0</v>
      </c>
      <c r="M8" s="619">
        <v>0</v>
      </c>
      <c r="N8" s="619">
        <v>0</v>
      </c>
      <c r="O8" s="619"/>
      <c r="P8" s="619">
        <v>3</v>
      </c>
      <c r="Q8" s="619">
        <v>0</v>
      </c>
      <c r="R8" s="463"/>
      <c r="S8" s="327"/>
      <c r="T8" s="327">
        <v>1</v>
      </c>
    </row>
    <row r="9" spans="1:22" x14ac:dyDescent="0.2">
      <c r="R9" s="463"/>
      <c r="S9" s="463"/>
      <c r="T9" s="463"/>
      <c r="U9" s="464"/>
      <c r="V9" s="464"/>
    </row>
    <row r="10" spans="1:22" s="464" customFormat="1" ht="15" x14ac:dyDescent="0.25">
      <c r="A10" s="463">
        <v>21</v>
      </c>
      <c r="B10" s="620">
        <v>1</v>
      </c>
      <c r="C10" s="620">
        <v>0</v>
      </c>
      <c r="D10" s="620">
        <v>0</v>
      </c>
      <c r="E10" s="620">
        <v>1</v>
      </c>
      <c r="F10" s="620"/>
      <c r="G10" s="620">
        <v>0</v>
      </c>
      <c r="H10" s="620">
        <v>0</v>
      </c>
      <c r="I10" s="620">
        <v>1</v>
      </c>
      <c r="J10" s="620">
        <v>1</v>
      </c>
      <c r="K10" s="620">
        <v>0</v>
      </c>
      <c r="L10" s="620">
        <v>0</v>
      </c>
      <c r="M10" s="620">
        <v>0</v>
      </c>
      <c r="N10" s="620">
        <v>0</v>
      </c>
      <c r="O10" s="620"/>
      <c r="P10" s="620">
        <v>1</v>
      </c>
      <c r="Q10" s="620">
        <v>0</v>
      </c>
      <c r="R10" s="463"/>
      <c r="S10" s="327"/>
      <c r="T10" s="327">
        <v>2</v>
      </c>
    </row>
    <row r="11" spans="1:22" s="464" customFormat="1" ht="15" x14ac:dyDescent="0.25">
      <c r="A11" s="463">
        <v>22</v>
      </c>
      <c r="B11" s="620">
        <v>1</v>
      </c>
      <c r="C11" s="620">
        <v>0</v>
      </c>
      <c r="D11" s="620">
        <v>0</v>
      </c>
      <c r="E11" s="620">
        <v>0</v>
      </c>
      <c r="F11" s="620"/>
      <c r="G11" s="620">
        <v>1</v>
      </c>
      <c r="H11" s="620">
        <v>2</v>
      </c>
      <c r="I11" s="620">
        <v>2</v>
      </c>
      <c r="J11" s="620">
        <v>0</v>
      </c>
      <c r="K11" s="620">
        <v>0</v>
      </c>
      <c r="L11" s="620">
        <v>1</v>
      </c>
      <c r="M11" s="620">
        <v>0</v>
      </c>
      <c r="N11" s="620">
        <v>0</v>
      </c>
      <c r="O11" s="620"/>
      <c r="P11" s="620">
        <v>0</v>
      </c>
      <c r="Q11" s="620">
        <v>0</v>
      </c>
      <c r="R11" s="463"/>
      <c r="S11" s="559"/>
      <c r="T11" s="327"/>
    </row>
    <row r="12" spans="1:22" s="464" customFormat="1" ht="15" x14ac:dyDescent="0.25">
      <c r="A12" s="463">
        <v>23</v>
      </c>
      <c r="B12" s="620">
        <v>0</v>
      </c>
      <c r="C12" s="620">
        <v>1</v>
      </c>
      <c r="D12" s="620">
        <v>0</v>
      </c>
      <c r="E12" s="620">
        <v>0</v>
      </c>
      <c r="F12" s="620"/>
      <c r="G12" s="620">
        <v>0</v>
      </c>
      <c r="H12" s="620">
        <v>0</v>
      </c>
      <c r="I12" s="620">
        <v>0</v>
      </c>
      <c r="J12" s="620">
        <v>0</v>
      </c>
      <c r="K12" s="620">
        <v>0</v>
      </c>
      <c r="L12" s="620">
        <v>0</v>
      </c>
      <c r="M12" s="620">
        <v>1</v>
      </c>
      <c r="N12" s="620">
        <v>0</v>
      </c>
      <c r="O12" s="620"/>
      <c r="P12" s="620">
        <v>0</v>
      </c>
      <c r="Q12" s="620">
        <v>0</v>
      </c>
      <c r="R12" s="463"/>
      <c r="S12" s="559"/>
      <c r="T12" s="327">
        <v>2</v>
      </c>
    </row>
    <row r="13" spans="1:22" s="464" customFormat="1" ht="15" x14ac:dyDescent="0.25">
      <c r="A13" s="463">
        <v>24</v>
      </c>
      <c r="B13" s="620">
        <v>2</v>
      </c>
      <c r="C13" s="620">
        <v>0</v>
      </c>
      <c r="D13" s="620">
        <v>0</v>
      </c>
      <c r="E13" s="620">
        <v>0</v>
      </c>
      <c r="F13" s="620"/>
      <c r="G13" s="620">
        <v>2</v>
      </c>
      <c r="H13" s="620">
        <v>0</v>
      </c>
      <c r="I13" s="620">
        <v>1</v>
      </c>
      <c r="J13" s="620">
        <v>0</v>
      </c>
      <c r="K13" s="620">
        <v>0</v>
      </c>
      <c r="L13" s="620">
        <v>0</v>
      </c>
      <c r="M13" s="620">
        <v>0</v>
      </c>
      <c r="N13" s="620">
        <v>0</v>
      </c>
      <c r="O13" s="620"/>
      <c r="P13" s="620">
        <v>0</v>
      </c>
      <c r="Q13" s="620">
        <v>0</v>
      </c>
      <c r="R13" s="463"/>
      <c r="S13" s="559"/>
      <c r="T13" s="327">
        <v>2</v>
      </c>
    </row>
    <row r="14" spans="1:22" s="464" customFormat="1" ht="15" x14ac:dyDescent="0.25">
      <c r="A14" s="463">
        <v>25</v>
      </c>
      <c r="B14" s="620">
        <v>1</v>
      </c>
      <c r="C14" s="620">
        <v>1</v>
      </c>
      <c r="D14" s="620">
        <v>0</v>
      </c>
      <c r="E14" s="620">
        <v>0</v>
      </c>
      <c r="F14" s="620"/>
      <c r="G14" s="620">
        <v>0</v>
      </c>
      <c r="H14" s="620">
        <v>0</v>
      </c>
      <c r="I14" s="620">
        <v>1</v>
      </c>
      <c r="J14" s="620">
        <v>0</v>
      </c>
      <c r="K14" s="620">
        <v>0</v>
      </c>
      <c r="L14" s="620">
        <v>0</v>
      </c>
      <c r="M14" s="620">
        <v>0</v>
      </c>
      <c r="N14" s="620">
        <v>0</v>
      </c>
      <c r="O14" s="620"/>
      <c r="P14" s="620">
        <v>2</v>
      </c>
      <c r="Q14" s="620">
        <v>0</v>
      </c>
      <c r="R14" s="463"/>
      <c r="S14" s="327"/>
      <c r="T14" s="327">
        <v>1</v>
      </c>
    </row>
    <row r="15" spans="1:22" s="464" customFormat="1" ht="15" x14ac:dyDescent="0.25">
      <c r="A15" s="463">
        <v>26</v>
      </c>
      <c r="B15" s="620">
        <v>1</v>
      </c>
      <c r="C15" s="620">
        <v>0</v>
      </c>
      <c r="D15" s="620">
        <v>0</v>
      </c>
      <c r="E15" s="620">
        <v>1</v>
      </c>
      <c r="F15" s="620"/>
      <c r="G15" s="620">
        <v>0</v>
      </c>
      <c r="H15" s="620">
        <v>0</v>
      </c>
      <c r="I15" s="620">
        <v>0</v>
      </c>
      <c r="J15" s="620">
        <v>1</v>
      </c>
      <c r="K15" s="620">
        <v>0</v>
      </c>
      <c r="L15" s="620">
        <v>0</v>
      </c>
      <c r="M15" s="620">
        <v>0</v>
      </c>
      <c r="N15" s="620">
        <v>0</v>
      </c>
      <c r="O15" s="620"/>
      <c r="P15" s="620">
        <v>0</v>
      </c>
      <c r="Q15" s="620">
        <v>0</v>
      </c>
      <c r="R15" s="463"/>
      <c r="S15" s="559"/>
      <c r="T15" s="559"/>
    </row>
    <row r="16" spans="1:22" x14ac:dyDescent="0.2">
      <c r="R16" s="463"/>
      <c r="S16" s="463"/>
      <c r="T16" s="463"/>
      <c r="U16" s="464"/>
      <c r="V16" s="464"/>
    </row>
    <row r="17" spans="1:22" s="464" customFormat="1" ht="15" x14ac:dyDescent="0.25">
      <c r="A17" s="463">
        <v>31</v>
      </c>
      <c r="B17" s="621">
        <v>0</v>
      </c>
      <c r="C17" s="621">
        <v>1</v>
      </c>
      <c r="D17" s="621">
        <v>0</v>
      </c>
      <c r="E17" s="621">
        <v>1</v>
      </c>
      <c r="F17" s="621"/>
      <c r="G17" s="621">
        <v>1</v>
      </c>
      <c r="H17" s="621">
        <v>1</v>
      </c>
      <c r="I17" s="621">
        <v>1</v>
      </c>
      <c r="J17" s="621">
        <v>0</v>
      </c>
      <c r="K17" s="621">
        <v>0</v>
      </c>
      <c r="L17" s="621">
        <v>1</v>
      </c>
      <c r="M17" s="621">
        <v>0</v>
      </c>
      <c r="N17" s="621">
        <v>4</v>
      </c>
      <c r="O17" s="621"/>
      <c r="P17" s="621">
        <v>0</v>
      </c>
      <c r="Q17" s="621">
        <v>0</v>
      </c>
      <c r="R17" s="463"/>
      <c r="S17" s="559">
        <v>2</v>
      </c>
      <c r="T17" s="327">
        <v>5</v>
      </c>
    </row>
    <row r="18" spans="1:22" s="464" customFormat="1" ht="15" x14ac:dyDescent="0.25">
      <c r="A18" s="463">
        <v>32</v>
      </c>
      <c r="B18" s="621">
        <v>0</v>
      </c>
      <c r="C18" s="621">
        <v>0</v>
      </c>
      <c r="D18" s="621">
        <v>0</v>
      </c>
      <c r="E18" s="621">
        <v>1</v>
      </c>
      <c r="F18" s="621"/>
      <c r="G18" s="621">
        <v>1</v>
      </c>
      <c r="H18" s="621">
        <v>0</v>
      </c>
      <c r="I18" s="621">
        <v>0</v>
      </c>
      <c r="J18" s="621">
        <v>1</v>
      </c>
      <c r="K18" s="621">
        <v>0</v>
      </c>
      <c r="L18" s="621">
        <v>0</v>
      </c>
      <c r="M18" s="621">
        <v>0</v>
      </c>
      <c r="N18" s="621">
        <v>0</v>
      </c>
      <c r="O18" s="621"/>
      <c r="P18" s="621">
        <v>0</v>
      </c>
      <c r="Q18" s="621">
        <v>0</v>
      </c>
      <c r="R18" s="463"/>
      <c r="S18" s="327"/>
      <c r="T18" s="327">
        <v>1</v>
      </c>
    </row>
    <row r="19" spans="1:22" s="464" customFormat="1" ht="15" x14ac:dyDescent="0.25">
      <c r="A19" s="463">
        <v>33</v>
      </c>
      <c r="B19" s="621">
        <v>0</v>
      </c>
      <c r="C19" s="621">
        <v>0</v>
      </c>
      <c r="D19" s="621">
        <v>0</v>
      </c>
      <c r="E19" s="621">
        <v>1</v>
      </c>
      <c r="F19" s="621"/>
      <c r="G19" s="621">
        <v>1</v>
      </c>
      <c r="H19" s="621">
        <v>0</v>
      </c>
      <c r="I19" s="621">
        <v>2</v>
      </c>
      <c r="J19" s="621">
        <v>0</v>
      </c>
      <c r="K19" s="621">
        <v>0</v>
      </c>
      <c r="L19" s="621">
        <v>0</v>
      </c>
      <c r="M19" s="621">
        <v>0</v>
      </c>
      <c r="N19" s="621">
        <v>1</v>
      </c>
      <c r="O19" s="621"/>
      <c r="P19" s="621">
        <v>0</v>
      </c>
      <c r="Q19" s="621">
        <v>1</v>
      </c>
      <c r="R19" s="463"/>
      <c r="S19" s="559">
        <v>1</v>
      </c>
      <c r="T19" s="327">
        <v>3</v>
      </c>
    </row>
    <row r="20" spans="1:22" s="464" customFormat="1" ht="15" x14ac:dyDescent="0.25">
      <c r="A20" s="463">
        <v>34</v>
      </c>
      <c r="B20" s="621">
        <v>0</v>
      </c>
      <c r="C20" s="621">
        <v>0</v>
      </c>
      <c r="D20" s="621">
        <v>1</v>
      </c>
      <c r="E20" s="621">
        <v>0</v>
      </c>
      <c r="F20" s="621"/>
      <c r="G20" s="621">
        <v>2</v>
      </c>
      <c r="H20" s="621">
        <v>1</v>
      </c>
      <c r="I20" s="621">
        <v>1</v>
      </c>
      <c r="J20" s="621">
        <v>0</v>
      </c>
      <c r="K20" s="621">
        <v>1</v>
      </c>
      <c r="L20" s="621">
        <v>0</v>
      </c>
      <c r="M20" s="621">
        <v>1</v>
      </c>
      <c r="N20" s="621">
        <v>0</v>
      </c>
      <c r="O20" s="621"/>
      <c r="P20" s="621">
        <v>1</v>
      </c>
      <c r="Q20" s="621">
        <v>0</v>
      </c>
      <c r="R20" s="463"/>
      <c r="S20" s="327"/>
      <c r="T20" s="327">
        <v>4</v>
      </c>
    </row>
    <row r="21" spans="1:22" s="464" customFormat="1" ht="15" x14ac:dyDescent="0.25">
      <c r="A21" s="463">
        <v>35</v>
      </c>
      <c r="B21" s="621">
        <v>0</v>
      </c>
      <c r="C21" s="621">
        <v>0</v>
      </c>
      <c r="D21" s="621">
        <v>0</v>
      </c>
      <c r="E21" s="621">
        <v>0</v>
      </c>
      <c r="F21" s="621"/>
      <c r="G21" s="621">
        <v>1</v>
      </c>
      <c r="H21" s="621">
        <v>1</v>
      </c>
      <c r="I21" s="621">
        <v>0</v>
      </c>
      <c r="J21" s="621">
        <v>0</v>
      </c>
      <c r="K21" s="621">
        <v>0</v>
      </c>
      <c r="L21" s="621">
        <v>0</v>
      </c>
      <c r="M21" s="621">
        <v>0</v>
      </c>
      <c r="N21" s="621">
        <v>3</v>
      </c>
      <c r="O21" s="621"/>
      <c r="P21" s="621">
        <v>0</v>
      </c>
      <c r="Q21" s="621">
        <v>0</v>
      </c>
      <c r="R21" s="463"/>
      <c r="S21" s="559">
        <v>6</v>
      </c>
      <c r="T21" s="327">
        <v>6</v>
      </c>
    </row>
    <row r="22" spans="1:22" s="464" customFormat="1" ht="15" x14ac:dyDescent="0.25">
      <c r="A22" s="463">
        <v>37</v>
      </c>
      <c r="B22" s="621">
        <v>1</v>
      </c>
      <c r="C22" s="621">
        <v>0</v>
      </c>
      <c r="D22" s="621">
        <v>0</v>
      </c>
      <c r="E22" s="621">
        <v>0</v>
      </c>
      <c r="F22" s="621"/>
      <c r="G22" s="621">
        <v>4</v>
      </c>
      <c r="H22" s="621">
        <v>0</v>
      </c>
      <c r="I22" s="621">
        <v>0</v>
      </c>
      <c r="J22" s="621">
        <v>0</v>
      </c>
      <c r="K22" s="621">
        <v>0</v>
      </c>
      <c r="L22" s="621">
        <v>0</v>
      </c>
      <c r="M22" s="621">
        <v>0</v>
      </c>
      <c r="N22" s="621">
        <v>0</v>
      </c>
      <c r="O22" s="621"/>
      <c r="P22" s="621">
        <v>0</v>
      </c>
      <c r="Q22" s="621">
        <v>0</v>
      </c>
      <c r="R22" s="463"/>
      <c r="S22" s="559">
        <v>3</v>
      </c>
      <c r="T22" s="327">
        <v>6</v>
      </c>
    </row>
    <row r="23" spans="1:22" x14ac:dyDescent="0.2">
      <c r="R23" s="463"/>
      <c r="S23" s="463"/>
      <c r="T23" s="463"/>
      <c r="U23" s="464"/>
      <c r="V23" s="464"/>
    </row>
    <row r="24" spans="1:22" s="464" customFormat="1" ht="15" x14ac:dyDescent="0.25">
      <c r="A24" s="463">
        <v>41</v>
      </c>
      <c r="B24" s="622">
        <v>0</v>
      </c>
      <c r="C24" s="622">
        <v>0</v>
      </c>
      <c r="D24" s="622">
        <v>0</v>
      </c>
      <c r="E24" s="622">
        <v>0</v>
      </c>
      <c r="F24" s="622"/>
      <c r="G24" s="622">
        <v>0</v>
      </c>
      <c r="H24" s="622">
        <v>0</v>
      </c>
      <c r="I24" s="622">
        <v>0</v>
      </c>
      <c r="J24" s="622">
        <v>0</v>
      </c>
      <c r="K24" s="622">
        <v>0</v>
      </c>
      <c r="L24" s="622">
        <v>0</v>
      </c>
      <c r="M24" s="622">
        <v>0</v>
      </c>
      <c r="N24" s="622">
        <v>0</v>
      </c>
      <c r="O24" s="622"/>
      <c r="P24" s="622">
        <v>0</v>
      </c>
      <c r="Q24" s="622">
        <v>0</v>
      </c>
      <c r="R24" s="463"/>
      <c r="S24" s="327"/>
      <c r="T24" s="327"/>
    </row>
    <row r="25" spans="1:22" s="464" customFormat="1" ht="15" x14ac:dyDescent="0.25">
      <c r="A25" s="463">
        <v>42</v>
      </c>
      <c r="B25" s="622">
        <v>1</v>
      </c>
      <c r="C25" s="622">
        <v>0</v>
      </c>
      <c r="D25" s="622">
        <v>0</v>
      </c>
      <c r="E25" s="622">
        <v>0</v>
      </c>
      <c r="F25" s="622"/>
      <c r="G25" s="622">
        <v>2</v>
      </c>
      <c r="H25" s="622">
        <v>0</v>
      </c>
      <c r="I25" s="622">
        <v>0</v>
      </c>
      <c r="J25" s="622">
        <v>0</v>
      </c>
      <c r="K25" s="622">
        <v>0</v>
      </c>
      <c r="L25" s="622">
        <v>0</v>
      </c>
      <c r="M25" s="622">
        <v>0</v>
      </c>
      <c r="N25" s="622">
        <v>1</v>
      </c>
      <c r="O25" s="622"/>
      <c r="P25" s="622">
        <v>0</v>
      </c>
      <c r="Q25" s="622">
        <v>0</v>
      </c>
      <c r="R25" s="463"/>
      <c r="S25" s="327"/>
      <c r="T25" s="327">
        <v>1</v>
      </c>
    </row>
    <row r="26" spans="1:22" s="464" customFormat="1" ht="15" x14ac:dyDescent="0.25">
      <c r="A26" s="463">
        <v>43</v>
      </c>
      <c r="B26" s="622">
        <v>1</v>
      </c>
      <c r="C26" s="622">
        <v>0</v>
      </c>
      <c r="D26" s="622">
        <v>0</v>
      </c>
      <c r="E26" s="622">
        <v>0</v>
      </c>
      <c r="F26" s="622"/>
      <c r="G26" s="622">
        <v>2</v>
      </c>
      <c r="H26" s="622">
        <v>1</v>
      </c>
      <c r="I26" s="622">
        <v>1</v>
      </c>
      <c r="J26" s="622">
        <v>0</v>
      </c>
      <c r="K26" s="622">
        <v>1</v>
      </c>
      <c r="L26" s="622">
        <v>0</v>
      </c>
      <c r="M26" s="622">
        <v>0</v>
      </c>
      <c r="N26" s="622">
        <v>1</v>
      </c>
      <c r="O26" s="622"/>
      <c r="P26" s="622">
        <v>5</v>
      </c>
      <c r="Q26" s="622">
        <v>0</v>
      </c>
      <c r="R26" s="463"/>
      <c r="S26" s="327"/>
      <c r="T26" s="327"/>
    </row>
    <row r="27" spans="1:22" s="464" customFormat="1" ht="15" x14ac:dyDescent="0.25">
      <c r="A27" s="463">
        <v>44</v>
      </c>
      <c r="B27" s="622">
        <v>0</v>
      </c>
      <c r="C27" s="622">
        <v>1</v>
      </c>
      <c r="D27" s="622">
        <v>0</v>
      </c>
      <c r="E27" s="622">
        <v>0</v>
      </c>
      <c r="F27" s="622"/>
      <c r="G27" s="622">
        <v>4</v>
      </c>
      <c r="H27" s="622">
        <v>0</v>
      </c>
      <c r="I27" s="622">
        <v>1</v>
      </c>
      <c r="J27" s="622">
        <v>0</v>
      </c>
      <c r="K27" s="622">
        <v>0</v>
      </c>
      <c r="L27" s="622">
        <v>0</v>
      </c>
      <c r="M27" s="622">
        <v>0</v>
      </c>
      <c r="N27" s="622">
        <v>0</v>
      </c>
      <c r="O27" s="622"/>
      <c r="P27" s="622">
        <v>0</v>
      </c>
      <c r="Q27" s="622">
        <v>1</v>
      </c>
      <c r="R27" s="463"/>
      <c r="S27" s="327"/>
      <c r="T27" s="327">
        <v>2</v>
      </c>
    </row>
    <row r="28" spans="1:22" s="464" customFormat="1" ht="15" x14ac:dyDescent="0.25">
      <c r="A28" s="463">
        <v>45</v>
      </c>
      <c r="B28" s="622">
        <v>0</v>
      </c>
      <c r="C28" s="622">
        <v>0</v>
      </c>
      <c r="D28" s="622">
        <v>0</v>
      </c>
      <c r="E28" s="622">
        <v>0</v>
      </c>
      <c r="F28" s="622"/>
      <c r="G28" s="622">
        <v>0</v>
      </c>
      <c r="H28" s="622">
        <v>0</v>
      </c>
      <c r="I28" s="622">
        <v>0</v>
      </c>
      <c r="J28" s="622">
        <v>0</v>
      </c>
      <c r="K28" s="622">
        <v>1</v>
      </c>
      <c r="L28" s="622">
        <v>0</v>
      </c>
      <c r="M28" s="622">
        <v>0</v>
      </c>
      <c r="N28" s="622">
        <v>0</v>
      </c>
      <c r="O28" s="622"/>
      <c r="P28" s="622">
        <v>0</v>
      </c>
      <c r="Q28" s="622">
        <v>0</v>
      </c>
      <c r="R28" s="463"/>
      <c r="S28" s="327"/>
      <c r="T28" s="327">
        <v>1</v>
      </c>
    </row>
    <row r="29" spans="1:22" s="464" customFormat="1" ht="15" x14ac:dyDescent="0.25">
      <c r="A29" s="463">
        <v>46</v>
      </c>
      <c r="B29" s="622">
        <v>0</v>
      </c>
      <c r="C29" s="622">
        <v>0</v>
      </c>
      <c r="D29" s="622">
        <v>0</v>
      </c>
      <c r="E29" s="622">
        <v>1</v>
      </c>
      <c r="F29" s="622"/>
      <c r="G29" s="622">
        <v>2</v>
      </c>
      <c r="H29" s="622">
        <v>0</v>
      </c>
      <c r="I29" s="622">
        <v>0</v>
      </c>
      <c r="J29" s="622">
        <v>0</v>
      </c>
      <c r="K29" s="622">
        <v>0</v>
      </c>
      <c r="L29" s="622">
        <v>0</v>
      </c>
      <c r="M29" s="622">
        <v>0</v>
      </c>
      <c r="N29" s="622">
        <v>0</v>
      </c>
      <c r="O29" s="622"/>
      <c r="P29" s="622">
        <v>4</v>
      </c>
      <c r="Q29" s="622">
        <v>0</v>
      </c>
      <c r="R29" s="463"/>
      <c r="S29" s="327"/>
      <c r="T29" s="327">
        <v>7</v>
      </c>
    </row>
    <row r="30" spans="1:22" x14ac:dyDescent="0.2">
      <c r="R30" s="463"/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623">
        <v>0</v>
      </c>
      <c r="C31" s="623">
        <v>0</v>
      </c>
      <c r="D31" s="623">
        <v>2</v>
      </c>
      <c r="E31" s="623">
        <v>0</v>
      </c>
      <c r="F31" s="623"/>
      <c r="G31" s="623">
        <v>2</v>
      </c>
      <c r="H31" s="623">
        <v>3</v>
      </c>
      <c r="I31" s="623">
        <v>1</v>
      </c>
      <c r="J31" s="623">
        <v>1</v>
      </c>
      <c r="K31" s="623">
        <v>0</v>
      </c>
      <c r="L31" s="623">
        <v>0</v>
      </c>
      <c r="M31" s="623">
        <v>0</v>
      </c>
      <c r="N31" s="623">
        <v>1</v>
      </c>
      <c r="O31" s="623"/>
      <c r="P31" s="623">
        <v>4</v>
      </c>
      <c r="Q31" s="623">
        <v>0</v>
      </c>
      <c r="R31" s="463"/>
      <c r="S31" s="532">
        <v>1</v>
      </c>
      <c r="T31" s="327">
        <v>1</v>
      </c>
    </row>
    <row r="32" spans="1:22" s="464" customFormat="1" ht="15" x14ac:dyDescent="0.25">
      <c r="A32" s="463">
        <v>52</v>
      </c>
      <c r="B32" s="623">
        <v>1</v>
      </c>
      <c r="C32" s="623">
        <v>0</v>
      </c>
      <c r="D32" s="623">
        <v>0</v>
      </c>
      <c r="E32" s="623">
        <v>0</v>
      </c>
      <c r="F32" s="623"/>
      <c r="G32" s="623">
        <v>0</v>
      </c>
      <c r="H32" s="623">
        <v>0</v>
      </c>
      <c r="I32" s="623">
        <v>0</v>
      </c>
      <c r="J32" s="623">
        <v>1</v>
      </c>
      <c r="K32" s="623">
        <v>0</v>
      </c>
      <c r="L32" s="623">
        <v>0</v>
      </c>
      <c r="M32" s="623">
        <v>0</v>
      </c>
      <c r="N32" s="623">
        <v>0</v>
      </c>
      <c r="O32" s="623"/>
      <c r="P32" s="623">
        <v>0</v>
      </c>
      <c r="Q32" s="623">
        <v>0</v>
      </c>
      <c r="R32" s="463"/>
      <c r="S32" s="327"/>
      <c r="T32" s="327">
        <v>3</v>
      </c>
    </row>
    <row r="33" spans="1:23" s="464" customFormat="1" ht="15" x14ac:dyDescent="0.25">
      <c r="A33" s="463">
        <v>53</v>
      </c>
      <c r="B33" s="623">
        <v>2</v>
      </c>
      <c r="C33" s="623">
        <v>0</v>
      </c>
      <c r="D33" s="623">
        <v>0</v>
      </c>
      <c r="E33" s="623">
        <v>0</v>
      </c>
      <c r="F33" s="623"/>
      <c r="G33" s="623">
        <v>0</v>
      </c>
      <c r="H33" s="623">
        <v>0</v>
      </c>
      <c r="I33" s="623">
        <v>1</v>
      </c>
      <c r="J33" s="623">
        <v>0</v>
      </c>
      <c r="K33" s="623">
        <v>0</v>
      </c>
      <c r="L33" s="623">
        <v>0</v>
      </c>
      <c r="M33" s="623">
        <v>0</v>
      </c>
      <c r="N33" s="623">
        <v>1</v>
      </c>
      <c r="O33" s="623"/>
      <c r="P33" s="623">
        <v>0</v>
      </c>
      <c r="Q33" s="623">
        <v>0</v>
      </c>
      <c r="R33" s="463"/>
      <c r="S33" s="327"/>
      <c r="T33" s="327"/>
    </row>
    <row r="34" spans="1:23" s="464" customFormat="1" x14ac:dyDescent="0.2">
      <c r="A34" s="463">
        <v>54</v>
      </c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52"/>
      <c r="R34" s="463"/>
      <c r="S34" s="327"/>
      <c r="T34" s="327">
        <v>1</v>
      </c>
    </row>
    <row r="35" spans="1:23" s="464" customFormat="1" ht="15" x14ac:dyDescent="0.25">
      <c r="A35" s="463">
        <v>55</v>
      </c>
      <c r="B35" s="624">
        <v>0</v>
      </c>
      <c r="C35" s="624">
        <v>0</v>
      </c>
      <c r="D35" s="624">
        <v>0</v>
      </c>
      <c r="E35" s="624">
        <v>0</v>
      </c>
      <c r="F35" s="624"/>
      <c r="G35" s="624">
        <v>0</v>
      </c>
      <c r="H35" s="624">
        <v>0</v>
      </c>
      <c r="I35" s="624">
        <v>1</v>
      </c>
      <c r="J35" s="624">
        <v>0</v>
      </c>
      <c r="K35" s="624">
        <v>0</v>
      </c>
      <c r="L35" s="624">
        <v>0</v>
      </c>
      <c r="M35" s="624">
        <v>0</v>
      </c>
      <c r="N35" s="624">
        <v>0</v>
      </c>
      <c r="O35" s="624"/>
      <c r="P35" s="624">
        <v>0</v>
      </c>
      <c r="Q35" s="624">
        <v>0</v>
      </c>
      <c r="R35" s="463"/>
      <c r="S35" s="327"/>
      <c r="T35" s="327"/>
    </row>
    <row r="36" spans="1:23" s="464" customFormat="1" x14ac:dyDescent="0.2">
      <c r="A36" s="463">
        <v>56</v>
      </c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552"/>
      <c r="Q36" s="552"/>
      <c r="R36" s="463"/>
      <c r="S36" s="327"/>
      <c r="T36" s="327">
        <v>2</v>
      </c>
    </row>
    <row r="37" spans="1:23" x14ac:dyDescent="0.2">
      <c r="S37" s="543"/>
      <c r="T37" s="543"/>
      <c r="U37" s="464"/>
      <c r="V37" s="464"/>
    </row>
    <row r="38" spans="1:23" s="464" customFormat="1" ht="15" x14ac:dyDescent="0.25">
      <c r="A38" s="463">
        <v>61</v>
      </c>
      <c r="B38" s="625">
        <v>0</v>
      </c>
      <c r="C38" s="625">
        <v>0</v>
      </c>
      <c r="D38" s="625">
        <v>0</v>
      </c>
      <c r="E38" s="625">
        <v>0</v>
      </c>
      <c r="F38" s="625"/>
      <c r="G38" s="625">
        <v>3</v>
      </c>
      <c r="H38" s="625">
        <v>0</v>
      </c>
      <c r="I38" s="625">
        <v>1</v>
      </c>
      <c r="J38" s="625">
        <v>0</v>
      </c>
      <c r="K38" s="625">
        <v>2</v>
      </c>
      <c r="L38" s="625">
        <v>0</v>
      </c>
      <c r="M38" s="625">
        <v>0</v>
      </c>
      <c r="N38" s="625">
        <v>1</v>
      </c>
      <c r="O38" s="625"/>
      <c r="P38" s="625">
        <v>0</v>
      </c>
      <c r="Q38" s="625">
        <v>0</v>
      </c>
      <c r="S38" s="327"/>
      <c r="T38" s="327">
        <v>1</v>
      </c>
    </row>
    <row r="39" spans="1:23" s="464" customFormat="1" ht="15" x14ac:dyDescent="0.25">
      <c r="A39" s="463">
        <v>62</v>
      </c>
      <c r="B39" s="625">
        <v>0</v>
      </c>
      <c r="C39" s="625">
        <v>0</v>
      </c>
      <c r="D39" s="625">
        <v>0</v>
      </c>
      <c r="E39" s="625">
        <v>0</v>
      </c>
      <c r="F39" s="625"/>
      <c r="G39" s="625">
        <v>2</v>
      </c>
      <c r="H39" s="625">
        <v>1</v>
      </c>
      <c r="I39" s="625">
        <v>1</v>
      </c>
      <c r="J39" s="625">
        <v>0</v>
      </c>
      <c r="K39" s="625">
        <v>0</v>
      </c>
      <c r="L39" s="625">
        <v>0</v>
      </c>
      <c r="M39" s="625">
        <v>1</v>
      </c>
      <c r="N39" s="625">
        <v>6</v>
      </c>
      <c r="O39" s="625"/>
      <c r="P39" s="625">
        <v>1</v>
      </c>
      <c r="Q39" s="625">
        <v>1</v>
      </c>
      <c r="S39" s="327"/>
      <c r="T39" s="327"/>
    </row>
    <row r="40" spans="1:23" x14ac:dyDescent="0.2">
      <c r="S40" s="464"/>
      <c r="T40" s="464"/>
      <c r="U40" s="464"/>
      <c r="V40" s="464"/>
      <c r="W40" s="464"/>
    </row>
    <row r="41" spans="1:23" x14ac:dyDescent="0.2">
      <c r="S41" s="464"/>
      <c r="T41" s="464"/>
      <c r="U41" s="464"/>
      <c r="V41" s="464"/>
      <c r="W41" s="464"/>
    </row>
    <row r="42" spans="1:23" x14ac:dyDescent="0.2">
      <c r="S42" s="464"/>
      <c r="T42" s="464"/>
      <c r="U42" s="464"/>
      <c r="V42" s="464"/>
      <c r="W42" s="464"/>
    </row>
    <row r="43" spans="1:23" x14ac:dyDescent="0.2">
      <c r="S43" s="464"/>
      <c r="T43" s="464"/>
      <c r="U43" s="464"/>
      <c r="V43" s="464"/>
      <c r="W43" s="464"/>
    </row>
    <row r="44" spans="1:23" x14ac:dyDescent="0.2">
      <c r="S44" s="464"/>
      <c r="T44" s="464"/>
      <c r="U44" s="464"/>
      <c r="V44" s="464"/>
      <c r="W44" s="464"/>
    </row>
    <row r="45" spans="1:23" x14ac:dyDescent="0.2">
      <c r="S45" s="464"/>
      <c r="T45" s="464"/>
      <c r="U45" s="464"/>
      <c r="V45" s="464"/>
      <c r="W45" s="464"/>
    </row>
    <row r="46" spans="1:23" x14ac:dyDescent="0.2">
      <c r="S46" s="464"/>
      <c r="T46" s="464"/>
      <c r="U46" s="464"/>
      <c r="V46" s="464"/>
      <c r="W46" s="464"/>
    </row>
    <row r="47" spans="1:23" x14ac:dyDescent="0.2">
      <c r="S47" s="464"/>
      <c r="T47" s="464"/>
      <c r="U47" s="464"/>
      <c r="V47" s="464"/>
      <c r="W47" s="464"/>
    </row>
    <row r="48" spans="1:23" x14ac:dyDescent="0.2">
      <c r="S48" s="464"/>
      <c r="T48" s="464"/>
      <c r="U48" s="464"/>
      <c r="V48" s="464"/>
      <c r="W48" s="464"/>
    </row>
    <row r="49" spans="19:23" x14ac:dyDescent="0.2">
      <c r="S49" s="464"/>
      <c r="T49" s="464"/>
      <c r="U49" s="464"/>
      <c r="V49" s="464"/>
      <c r="W49" s="464"/>
    </row>
    <row r="50" spans="19:23" x14ac:dyDescent="0.2">
      <c r="S50" s="464"/>
      <c r="T50" s="464"/>
      <c r="U50" s="464"/>
      <c r="V50" s="464"/>
      <c r="W50" s="464"/>
    </row>
    <row r="51" spans="19:23" x14ac:dyDescent="0.2">
      <c r="S51" s="464"/>
      <c r="T51" s="464"/>
      <c r="U51" s="464"/>
      <c r="V51" s="464"/>
      <c r="W51" s="464"/>
    </row>
    <row r="52" spans="19:23" x14ac:dyDescent="0.2">
      <c r="S52" s="464"/>
      <c r="T52" s="464"/>
      <c r="U52" s="464"/>
      <c r="V52" s="464"/>
      <c r="W52" s="464"/>
    </row>
    <row r="53" spans="19:23" x14ac:dyDescent="0.2">
      <c r="S53" s="464"/>
      <c r="T53" s="464"/>
      <c r="U53" s="464"/>
      <c r="V53" s="464"/>
      <c r="W53" s="464"/>
    </row>
    <row r="54" spans="19:23" x14ac:dyDescent="0.2">
      <c r="S54" s="464"/>
      <c r="T54" s="464"/>
      <c r="U54" s="464"/>
      <c r="V54" s="464"/>
      <c r="W54" s="464"/>
    </row>
    <row r="55" spans="19:23" x14ac:dyDescent="0.2">
      <c r="S55" s="464"/>
      <c r="T55" s="464"/>
      <c r="U55" s="464"/>
      <c r="V55" s="464"/>
      <c r="W55" s="464"/>
    </row>
    <row r="56" spans="19:23" x14ac:dyDescent="0.2">
      <c r="S56" s="464"/>
      <c r="T56" s="464"/>
      <c r="U56" s="464"/>
      <c r="V56" s="464"/>
      <c r="W56" s="464"/>
    </row>
    <row r="57" spans="19:23" x14ac:dyDescent="0.2">
      <c r="S57" s="464"/>
      <c r="T57" s="464"/>
      <c r="U57" s="464"/>
      <c r="V57" s="464"/>
      <c r="W57" s="464"/>
    </row>
    <row r="58" spans="19:23" x14ac:dyDescent="0.2">
      <c r="S58" s="464"/>
      <c r="T58" s="464"/>
      <c r="U58" s="464"/>
      <c r="V58" s="464"/>
      <c r="W58" s="464"/>
    </row>
    <row r="59" spans="19:23" x14ac:dyDescent="0.2">
      <c r="S59" s="464"/>
      <c r="T59" s="464"/>
      <c r="U59" s="464"/>
      <c r="V59" s="464"/>
      <c r="W59" s="464"/>
    </row>
    <row r="60" spans="19:23" x14ac:dyDescent="0.2">
      <c r="S60" s="464"/>
      <c r="T60" s="464"/>
      <c r="U60" s="464"/>
      <c r="V60" s="464"/>
      <c r="W60" s="464"/>
    </row>
    <row r="61" spans="19:23" x14ac:dyDescent="0.2">
      <c r="S61" s="464"/>
      <c r="T61" s="464"/>
      <c r="U61" s="464"/>
      <c r="V61" s="464"/>
      <c r="W61" s="464"/>
    </row>
    <row r="62" spans="19:23" x14ac:dyDescent="0.2">
      <c r="S62" s="464"/>
      <c r="T62" s="464"/>
      <c r="U62" s="464"/>
      <c r="V62" s="464"/>
      <c r="W62" s="464"/>
    </row>
    <row r="63" spans="19:23" x14ac:dyDescent="0.2">
      <c r="S63" s="464"/>
      <c r="T63" s="464"/>
      <c r="U63" s="464"/>
      <c r="V63" s="464"/>
      <c r="W63" s="464"/>
    </row>
    <row r="64" spans="19:23" x14ac:dyDescent="0.2">
      <c r="S64" s="464"/>
      <c r="T64" s="464"/>
      <c r="U64" s="464"/>
      <c r="V64" s="464"/>
      <c r="W64" s="464"/>
    </row>
    <row r="65" spans="19:23" x14ac:dyDescent="0.2">
      <c r="S65" s="464"/>
      <c r="T65" s="464"/>
      <c r="U65" s="464"/>
      <c r="V65" s="464"/>
      <c r="W65" s="46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95"/>
  <sheetViews>
    <sheetView zoomScaleNormal="100" workbookViewId="0">
      <selection activeCell="G23" sqref="G2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4" s="92" customFormat="1" x14ac:dyDescent="0.2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4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4" s="464" customFormat="1" ht="15" x14ac:dyDescent="0.25">
      <c r="A3" s="463">
        <v>11</v>
      </c>
      <c r="B3" s="613">
        <v>12</v>
      </c>
      <c r="C3" s="613">
        <v>2</v>
      </c>
      <c r="D3" s="613">
        <v>1</v>
      </c>
      <c r="E3" s="613">
        <v>2</v>
      </c>
      <c r="F3" s="613">
        <v>0</v>
      </c>
      <c r="G3" s="613">
        <v>16</v>
      </c>
      <c r="H3" s="613">
        <v>21</v>
      </c>
      <c r="I3" s="613">
        <v>9</v>
      </c>
      <c r="J3" s="613">
        <v>2</v>
      </c>
      <c r="K3" s="613">
        <v>1</v>
      </c>
      <c r="L3" s="613">
        <v>0</v>
      </c>
      <c r="M3" s="613">
        <v>0</v>
      </c>
      <c r="N3" s="613">
        <v>6</v>
      </c>
      <c r="O3" s="613">
        <v>0</v>
      </c>
      <c r="P3" s="613">
        <v>1</v>
      </c>
      <c r="Q3" s="613">
        <v>1</v>
      </c>
      <c r="R3" s="537"/>
      <c r="S3" s="327"/>
      <c r="T3" s="327">
        <v>7</v>
      </c>
    </row>
    <row r="4" spans="1:24" s="464" customFormat="1" ht="15" x14ac:dyDescent="0.25">
      <c r="A4" s="463">
        <v>12</v>
      </c>
      <c r="B4" s="613">
        <v>6</v>
      </c>
      <c r="C4" s="613">
        <v>1</v>
      </c>
      <c r="D4" s="613">
        <v>1</v>
      </c>
      <c r="E4" s="613">
        <v>4</v>
      </c>
      <c r="F4" s="613">
        <v>0</v>
      </c>
      <c r="G4" s="613">
        <v>26</v>
      </c>
      <c r="H4" s="613">
        <v>17</v>
      </c>
      <c r="I4" s="613">
        <v>4</v>
      </c>
      <c r="J4" s="613">
        <v>5</v>
      </c>
      <c r="K4" s="613">
        <v>3</v>
      </c>
      <c r="L4" s="613">
        <v>0</v>
      </c>
      <c r="M4" s="613">
        <v>0</v>
      </c>
      <c r="N4" s="613">
        <v>16</v>
      </c>
      <c r="O4" s="613">
        <v>0</v>
      </c>
      <c r="P4" s="613">
        <v>10</v>
      </c>
      <c r="Q4" s="613">
        <v>0</v>
      </c>
      <c r="R4" s="537"/>
      <c r="S4" s="327"/>
      <c r="T4" s="327">
        <v>33</v>
      </c>
    </row>
    <row r="5" spans="1:24" s="464" customFormat="1" ht="15" x14ac:dyDescent="0.25">
      <c r="A5" s="463">
        <v>13</v>
      </c>
      <c r="B5" s="613">
        <v>10</v>
      </c>
      <c r="C5" s="613">
        <v>6</v>
      </c>
      <c r="D5" s="613">
        <v>1</v>
      </c>
      <c r="E5" s="613">
        <v>2</v>
      </c>
      <c r="F5" s="613">
        <v>1</v>
      </c>
      <c r="G5" s="613">
        <v>9</v>
      </c>
      <c r="H5" s="613">
        <v>9</v>
      </c>
      <c r="I5" s="613">
        <v>6</v>
      </c>
      <c r="J5" s="613">
        <v>5</v>
      </c>
      <c r="K5" s="613">
        <v>2</v>
      </c>
      <c r="L5" s="613">
        <v>1</v>
      </c>
      <c r="M5" s="613">
        <v>1</v>
      </c>
      <c r="N5" s="613">
        <v>13</v>
      </c>
      <c r="O5" s="613">
        <v>1</v>
      </c>
      <c r="P5" s="613">
        <v>7</v>
      </c>
      <c r="Q5" s="613">
        <v>2</v>
      </c>
      <c r="R5" s="537"/>
      <c r="S5" s="327">
        <v>1</v>
      </c>
      <c r="T5" s="327">
        <v>22</v>
      </c>
    </row>
    <row r="6" spans="1:24" s="464" customFormat="1" ht="15" x14ac:dyDescent="0.25">
      <c r="A6" s="463">
        <v>14</v>
      </c>
      <c r="B6" s="613">
        <v>5</v>
      </c>
      <c r="C6" s="613">
        <v>2</v>
      </c>
      <c r="D6" s="613">
        <v>0</v>
      </c>
      <c r="E6" s="613">
        <v>2</v>
      </c>
      <c r="F6" s="613">
        <v>0</v>
      </c>
      <c r="G6" s="613">
        <v>12</v>
      </c>
      <c r="H6" s="613">
        <v>16</v>
      </c>
      <c r="I6" s="613">
        <v>9</v>
      </c>
      <c r="J6" s="613">
        <v>0</v>
      </c>
      <c r="K6" s="613">
        <v>8</v>
      </c>
      <c r="L6" s="613">
        <v>0</v>
      </c>
      <c r="M6" s="613">
        <v>1</v>
      </c>
      <c r="N6" s="613">
        <v>32</v>
      </c>
      <c r="O6" s="613">
        <v>0</v>
      </c>
      <c r="P6" s="613">
        <v>6</v>
      </c>
      <c r="Q6" s="613">
        <v>2</v>
      </c>
      <c r="R6" s="537"/>
      <c r="S6" s="327"/>
      <c r="T6" s="327">
        <v>28</v>
      </c>
    </row>
    <row r="7" spans="1:24" s="464" customFormat="1" ht="15" x14ac:dyDescent="0.25">
      <c r="A7" s="463">
        <v>15</v>
      </c>
      <c r="B7" s="613">
        <v>11</v>
      </c>
      <c r="C7" s="613">
        <v>2</v>
      </c>
      <c r="D7" s="613">
        <v>0</v>
      </c>
      <c r="E7" s="613">
        <v>4</v>
      </c>
      <c r="F7" s="613">
        <v>0</v>
      </c>
      <c r="G7" s="613">
        <v>8</v>
      </c>
      <c r="H7" s="613">
        <v>6</v>
      </c>
      <c r="I7" s="613">
        <v>6</v>
      </c>
      <c r="J7" s="613">
        <v>0</v>
      </c>
      <c r="K7" s="613">
        <v>1</v>
      </c>
      <c r="L7" s="613">
        <v>1</v>
      </c>
      <c r="M7" s="613">
        <v>0</v>
      </c>
      <c r="N7" s="613">
        <v>18</v>
      </c>
      <c r="O7" s="613">
        <v>0</v>
      </c>
      <c r="P7" s="613">
        <v>3</v>
      </c>
      <c r="Q7" s="613">
        <v>1</v>
      </c>
      <c r="R7" s="537"/>
      <c r="S7" s="327"/>
      <c r="T7" s="327">
        <v>29</v>
      </c>
    </row>
    <row r="8" spans="1:24" s="464" customFormat="1" ht="15" x14ac:dyDescent="0.25">
      <c r="A8" s="463">
        <v>16</v>
      </c>
      <c r="B8" s="613">
        <v>13</v>
      </c>
      <c r="C8" s="613">
        <v>2</v>
      </c>
      <c r="D8" s="613">
        <v>0</v>
      </c>
      <c r="E8" s="613">
        <v>0</v>
      </c>
      <c r="F8" s="613">
        <v>1</v>
      </c>
      <c r="G8" s="613">
        <v>9</v>
      </c>
      <c r="H8" s="613">
        <v>16</v>
      </c>
      <c r="I8" s="613">
        <v>5</v>
      </c>
      <c r="J8" s="613">
        <v>4</v>
      </c>
      <c r="K8" s="613">
        <v>5</v>
      </c>
      <c r="L8" s="613">
        <v>1</v>
      </c>
      <c r="M8" s="613">
        <v>0</v>
      </c>
      <c r="N8" s="613">
        <v>6</v>
      </c>
      <c r="O8" s="613">
        <v>1</v>
      </c>
      <c r="P8" s="613">
        <v>30</v>
      </c>
      <c r="Q8" s="613">
        <v>0</v>
      </c>
      <c r="R8" s="537"/>
      <c r="S8" s="327"/>
      <c r="T8" s="327">
        <v>20</v>
      </c>
    </row>
    <row r="9" spans="1:24" x14ac:dyDescent="0.2">
      <c r="S9" s="539"/>
      <c r="T9" s="539"/>
      <c r="W9" s="464"/>
      <c r="X9" s="464"/>
    </row>
    <row r="10" spans="1:24" s="464" customFormat="1" ht="15" x14ac:dyDescent="0.25">
      <c r="A10" s="463">
        <v>21</v>
      </c>
      <c r="B10" s="614">
        <v>9</v>
      </c>
      <c r="C10" s="614">
        <v>2</v>
      </c>
      <c r="D10" s="614">
        <v>0</v>
      </c>
      <c r="E10" s="614">
        <v>12</v>
      </c>
      <c r="F10" s="614">
        <v>0</v>
      </c>
      <c r="G10" s="614">
        <v>7</v>
      </c>
      <c r="H10" s="614">
        <v>5</v>
      </c>
      <c r="I10" s="614">
        <v>3</v>
      </c>
      <c r="J10" s="614">
        <v>3</v>
      </c>
      <c r="K10" s="614">
        <v>1</v>
      </c>
      <c r="L10" s="614">
        <v>0</v>
      </c>
      <c r="M10" s="614">
        <v>0</v>
      </c>
      <c r="N10" s="614">
        <v>6</v>
      </c>
      <c r="O10" s="614">
        <v>0</v>
      </c>
      <c r="P10" s="614">
        <v>11</v>
      </c>
      <c r="Q10" s="614">
        <v>5</v>
      </c>
      <c r="S10" s="327"/>
      <c r="T10" s="327">
        <v>32</v>
      </c>
    </row>
    <row r="11" spans="1:24" s="464" customFormat="1" ht="15" x14ac:dyDescent="0.25">
      <c r="A11" s="463">
        <v>22</v>
      </c>
      <c r="B11" s="614">
        <v>9</v>
      </c>
      <c r="C11" s="614">
        <v>4</v>
      </c>
      <c r="D11" s="614">
        <v>0</v>
      </c>
      <c r="E11" s="614">
        <v>1</v>
      </c>
      <c r="F11" s="614">
        <v>0</v>
      </c>
      <c r="G11" s="614">
        <v>22</v>
      </c>
      <c r="H11" s="614">
        <v>29</v>
      </c>
      <c r="I11" s="614">
        <v>21</v>
      </c>
      <c r="J11" s="614">
        <v>4</v>
      </c>
      <c r="K11" s="614">
        <v>3</v>
      </c>
      <c r="L11" s="614">
        <v>15</v>
      </c>
      <c r="M11" s="614">
        <v>2</v>
      </c>
      <c r="N11" s="614">
        <v>0</v>
      </c>
      <c r="O11" s="614">
        <v>0</v>
      </c>
      <c r="P11" s="614">
        <v>15</v>
      </c>
      <c r="Q11" s="614">
        <v>3</v>
      </c>
      <c r="S11" s="559">
        <v>4</v>
      </c>
      <c r="T11" s="327">
        <v>7</v>
      </c>
    </row>
    <row r="12" spans="1:24" s="464" customFormat="1" ht="15" x14ac:dyDescent="0.25">
      <c r="A12" s="463">
        <v>23</v>
      </c>
      <c r="B12" s="614">
        <v>3</v>
      </c>
      <c r="C12" s="614">
        <v>1</v>
      </c>
      <c r="D12" s="614">
        <v>0</v>
      </c>
      <c r="E12" s="614">
        <v>1</v>
      </c>
      <c r="F12" s="614">
        <v>2</v>
      </c>
      <c r="G12" s="614">
        <v>14</v>
      </c>
      <c r="H12" s="614">
        <v>12</v>
      </c>
      <c r="I12" s="614">
        <v>3</v>
      </c>
      <c r="J12" s="614">
        <v>3</v>
      </c>
      <c r="K12" s="614">
        <v>1</v>
      </c>
      <c r="L12" s="614">
        <v>1</v>
      </c>
      <c r="M12" s="614">
        <v>1</v>
      </c>
      <c r="N12" s="614">
        <v>2</v>
      </c>
      <c r="O12" s="614">
        <v>0</v>
      </c>
      <c r="P12" s="614">
        <v>6</v>
      </c>
      <c r="Q12" s="614">
        <v>2</v>
      </c>
      <c r="S12" s="559">
        <v>12</v>
      </c>
      <c r="T12" s="327">
        <v>8</v>
      </c>
    </row>
    <row r="13" spans="1:24" s="464" customFormat="1" ht="15" x14ac:dyDescent="0.25">
      <c r="A13" s="463">
        <v>24</v>
      </c>
      <c r="B13" s="614">
        <v>15</v>
      </c>
      <c r="C13" s="614">
        <v>1</v>
      </c>
      <c r="D13" s="614">
        <v>1</v>
      </c>
      <c r="E13" s="614">
        <v>1</v>
      </c>
      <c r="F13" s="614">
        <v>0</v>
      </c>
      <c r="G13" s="614">
        <v>48</v>
      </c>
      <c r="H13" s="614">
        <v>13</v>
      </c>
      <c r="I13" s="614">
        <v>30</v>
      </c>
      <c r="J13" s="614">
        <v>1</v>
      </c>
      <c r="K13" s="614">
        <v>2</v>
      </c>
      <c r="L13" s="614">
        <v>0</v>
      </c>
      <c r="M13" s="614">
        <v>1</v>
      </c>
      <c r="N13" s="614">
        <v>5</v>
      </c>
      <c r="O13" s="614">
        <v>0</v>
      </c>
      <c r="P13" s="614">
        <v>11</v>
      </c>
      <c r="Q13" s="614">
        <v>10</v>
      </c>
      <c r="S13" s="559">
        <v>13</v>
      </c>
      <c r="T13" s="327">
        <v>28</v>
      </c>
    </row>
    <row r="14" spans="1:24" s="464" customFormat="1" ht="15" x14ac:dyDescent="0.25">
      <c r="A14" s="463">
        <v>25</v>
      </c>
      <c r="B14" s="614">
        <v>14</v>
      </c>
      <c r="C14" s="614">
        <v>2</v>
      </c>
      <c r="D14" s="614">
        <v>0</v>
      </c>
      <c r="E14" s="614">
        <v>3</v>
      </c>
      <c r="F14" s="614">
        <v>0</v>
      </c>
      <c r="G14" s="614">
        <v>27</v>
      </c>
      <c r="H14" s="614">
        <v>12</v>
      </c>
      <c r="I14" s="614">
        <v>14</v>
      </c>
      <c r="J14" s="614">
        <v>3</v>
      </c>
      <c r="K14" s="614">
        <v>0</v>
      </c>
      <c r="L14" s="614">
        <v>1</v>
      </c>
      <c r="M14" s="614">
        <v>0</v>
      </c>
      <c r="N14" s="614">
        <v>2</v>
      </c>
      <c r="O14" s="614">
        <v>0</v>
      </c>
      <c r="P14" s="614">
        <v>21</v>
      </c>
      <c r="Q14" s="614">
        <v>7</v>
      </c>
      <c r="S14" s="559">
        <v>22</v>
      </c>
      <c r="T14" s="327">
        <v>20</v>
      </c>
    </row>
    <row r="15" spans="1:24" s="464" customFormat="1" ht="15" x14ac:dyDescent="0.25">
      <c r="A15" s="463">
        <v>26</v>
      </c>
      <c r="B15" s="614">
        <v>6</v>
      </c>
      <c r="C15" s="614">
        <v>2</v>
      </c>
      <c r="D15" s="614">
        <v>0</v>
      </c>
      <c r="E15" s="614">
        <v>3</v>
      </c>
      <c r="F15" s="614">
        <v>1</v>
      </c>
      <c r="G15" s="614">
        <v>27</v>
      </c>
      <c r="H15" s="614">
        <v>6</v>
      </c>
      <c r="I15" s="614">
        <v>8</v>
      </c>
      <c r="J15" s="614">
        <v>8</v>
      </c>
      <c r="K15" s="614">
        <v>3</v>
      </c>
      <c r="L15" s="614">
        <v>1</v>
      </c>
      <c r="M15" s="614">
        <v>0</v>
      </c>
      <c r="N15" s="614">
        <v>11</v>
      </c>
      <c r="O15" s="614">
        <v>1</v>
      </c>
      <c r="P15" s="614">
        <v>6</v>
      </c>
      <c r="Q15" s="614">
        <v>8</v>
      </c>
      <c r="S15" s="559">
        <v>33</v>
      </c>
      <c r="T15" s="327">
        <v>48</v>
      </c>
    </row>
    <row r="16" spans="1:24" x14ac:dyDescent="0.2">
      <c r="S16" s="539"/>
      <c r="T16" s="539"/>
      <c r="W16" s="464"/>
      <c r="X16" s="464"/>
    </row>
    <row r="17" spans="1:24" s="464" customFormat="1" ht="15" x14ac:dyDescent="0.25">
      <c r="A17" s="463">
        <v>31</v>
      </c>
      <c r="B17" s="615">
        <v>10</v>
      </c>
      <c r="C17" s="615">
        <v>2</v>
      </c>
      <c r="D17" s="615">
        <v>0</v>
      </c>
      <c r="E17" s="615">
        <v>13</v>
      </c>
      <c r="F17" s="615">
        <v>0</v>
      </c>
      <c r="G17" s="615">
        <v>17</v>
      </c>
      <c r="H17" s="615">
        <v>5</v>
      </c>
      <c r="I17" s="615">
        <v>6</v>
      </c>
      <c r="J17" s="615">
        <v>6</v>
      </c>
      <c r="K17" s="615">
        <v>1</v>
      </c>
      <c r="L17" s="615">
        <v>4</v>
      </c>
      <c r="M17" s="615">
        <v>2</v>
      </c>
      <c r="N17" s="615">
        <v>30</v>
      </c>
      <c r="O17" s="615">
        <v>2</v>
      </c>
      <c r="P17" s="615">
        <v>0</v>
      </c>
      <c r="Q17" s="615">
        <v>2</v>
      </c>
      <c r="S17" s="559">
        <v>85</v>
      </c>
      <c r="T17" s="327">
        <v>80</v>
      </c>
    </row>
    <row r="18" spans="1:24" s="464" customFormat="1" ht="15" x14ac:dyDescent="0.25">
      <c r="A18" s="463">
        <v>32</v>
      </c>
      <c r="B18" s="615">
        <v>8</v>
      </c>
      <c r="C18" s="615">
        <v>4</v>
      </c>
      <c r="D18" s="615">
        <v>0</v>
      </c>
      <c r="E18" s="615">
        <v>3</v>
      </c>
      <c r="F18" s="615">
        <v>0</v>
      </c>
      <c r="G18" s="615">
        <v>9</v>
      </c>
      <c r="H18" s="615">
        <v>9</v>
      </c>
      <c r="I18" s="615">
        <v>8</v>
      </c>
      <c r="J18" s="615">
        <v>4</v>
      </c>
      <c r="K18" s="615">
        <v>2</v>
      </c>
      <c r="L18" s="615">
        <v>1</v>
      </c>
      <c r="M18" s="615">
        <v>0</v>
      </c>
      <c r="N18" s="615">
        <v>10</v>
      </c>
      <c r="O18" s="615">
        <v>0</v>
      </c>
      <c r="P18" s="615">
        <v>14</v>
      </c>
      <c r="Q18" s="615">
        <v>0</v>
      </c>
      <c r="S18" s="559"/>
      <c r="T18" s="327">
        <v>32</v>
      </c>
    </row>
    <row r="19" spans="1:24" s="464" customFormat="1" ht="15" x14ac:dyDescent="0.25">
      <c r="A19" s="463">
        <v>33</v>
      </c>
      <c r="B19" s="615">
        <v>9</v>
      </c>
      <c r="C19" s="615">
        <v>2</v>
      </c>
      <c r="D19" s="615">
        <v>2</v>
      </c>
      <c r="E19" s="615">
        <v>5</v>
      </c>
      <c r="F19" s="615">
        <v>0</v>
      </c>
      <c r="G19" s="615">
        <v>45</v>
      </c>
      <c r="H19" s="615">
        <v>6</v>
      </c>
      <c r="I19" s="615">
        <v>24</v>
      </c>
      <c r="J19" s="615">
        <v>6</v>
      </c>
      <c r="K19" s="615">
        <v>2</v>
      </c>
      <c r="L19" s="615">
        <v>2</v>
      </c>
      <c r="M19" s="615">
        <v>0</v>
      </c>
      <c r="N19" s="615">
        <v>5</v>
      </c>
      <c r="O19" s="615">
        <v>0</v>
      </c>
      <c r="P19" s="615">
        <v>15</v>
      </c>
      <c r="Q19" s="615">
        <v>8</v>
      </c>
      <c r="S19" s="559">
        <v>25</v>
      </c>
      <c r="T19" s="327">
        <v>49</v>
      </c>
    </row>
    <row r="20" spans="1:24" s="464" customFormat="1" ht="15" x14ac:dyDescent="0.25">
      <c r="A20" s="463">
        <v>34</v>
      </c>
      <c r="B20" s="615">
        <v>11</v>
      </c>
      <c r="C20" s="615">
        <v>0</v>
      </c>
      <c r="D20" s="615">
        <v>3</v>
      </c>
      <c r="E20" s="615">
        <v>5</v>
      </c>
      <c r="F20" s="615">
        <v>0</v>
      </c>
      <c r="G20" s="615">
        <v>33</v>
      </c>
      <c r="H20" s="615">
        <v>16</v>
      </c>
      <c r="I20" s="615">
        <v>19</v>
      </c>
      <c r="J20" s="615">
        <v>3</v>
      </c>
      <c r="K20" s="615">
        <v>3</v>
      </c>
      <c r="L20" s="615">
        <v>2</v>
      </c>
      <c r="M20" s="615">
        <v>2</v>
      </c>
      <c r="N20" s="615">
        <v>5</v>
      </c>
      <c r="O20" s="615">
        <v>0</v>
      </c>
      <c r="P20" s="615">
        <v>25</v>
      </c>
      <c r="Q20" s="615">
        <v>3</v>
      </c>
      <c r="S20" s="327"/>
      <c r="T20" s="327">
        <v>36</v>
      </c>
    </row>
    <row r="21" spans="1:24" s="464" customFormat="1" ht="15" x14ac:dyDescent="0.25">
      <c r="A21" s="463">
        <v>35</v>
      </c>
      <c r="B21" s="615">
        <v>11</v>
      </c>
      <c r="C21" s="615">
        <v>0</v>
      </c>
      <c r="D21" s="615">
        <v>0</v>
      </c>
      <c r="E21" s="615">
        <v>5</v>
      </c>
      <c r="F21" s="615">
        <v>4</v>
      </c>
      <c r="G21" s="615">
        <v>18</v>
      </c>
      <c r="H21" s="615">
        <v>6</v>
      </c>
      <c r="I21" s="615">
        <v>12</v>
      </c>
      <c r="J21" s="615">
        <v>3</v>
      </c>
      <c r="K21" s="615">
        <v>3</v>
      </c>
      <c r="L21" s="615">
        <v>1</v>
      </c>
      <c r="M21" s="615">
        <v>1</v>
      </c>
      <c r="N21" s="615">
        <v>15</v>
      </c>
      <c r="O21" s="615">
        <v>2</v>
      </c>
      <c r="P21" s="615">
        <v>3</v>
      </c>
      <c r="Q21" s="615">
        <v>1</v>
      </c>
      <c r="S21" s="559">
        <v>110</v>
      </c>
      <c r="T21" s="327">
        <v>92</v>
      </c>
    </row>
    <row r="22" spans="1:24" s="464" customFormat="1" ht="15" x14ac:dyDescent="0.25">
      <c r="A22" s="463">
        <v>37</v>
      </c>
      <c r="B22" s="615">
        <v>12</v>
      </c>
      <c r="C22" s="615">
        <v>1</v>
      </c>
      <c r="D22" s="615">
        <v>1</v>
      </c>
      <c r="E22" s="615">
        <v>4</v>
      </c>
      <c r="F22" s="615">
        <v>0</v>
      </c>
      <c r="G22" s="615">
        <v>38</v>
      </c>
      <c r="H22" s="615">
        <v>6</v>
      </c>
      <c r="I22" s="615">
        <v>5</v>
      </c>
      <c r="J22" s="615">
        <v>0</v>
      </c>
      <c r="K22" s="615">
        <v>3</v>
      </c>
      <c r="L22" s="615">
        <v>1</v>
      </c>
      <c r="M22" s="615">
        <v>0</v>
      </c>
      <c r="N22" s="615">
        <v>2</v>
      </c>
      <c r="O22" s="615">
        <v>0</v>
      </c>
      <c r="P22" s="615">
        <v>18</v>
      </c>
      <c r="Q22" s="615">
        <v>2</v>
      </c>
      <c r="S22" s="559">
        <v>20</v>
      </c>
      <c r="T22" s="327">
        <v>49</v>
      </c>
    </row>
    <row r="23" spans="1:24" x14ac:dyDescent="0.2">
      <c r="S23" s="539"/>
      <c r="T23" s="540"/>
      <c r="W23" s="464"/>
      <c r="X23" s="464"/>
    </row>
    <row r="24" spans="1:24" s="464" customFormat="1" ht="15" x14ac:dyDescent="0.25">
      <c r="A24" s="463">
        <v>41</v>
      </c>
      <c r="B24" s="616">
        <v>6</v>
      </c>
      <c r="C24" s="616">
        <v>5</v>
      </c>
      <c r="D24" s="616">
        <v>5</v>
      </c>
      <c r="E24" s="616">
        <v>0</v>
      </c>
      <c r="F24" s="616">
        <v>0</v>
      </c>
      <c r="G24" s="616">
        <v>22</v>
      </c>
      <c r="H24" s="616">
        <v>12</v>
      </c>
      <c r="I24" s="616">
        <v>4</v>
      </c>
      <c r="J24" s="616">
        <v>0</v>
      </c>
      <c r="K24" s="616">
        <v>1</v>
      </c>
      <c r="L24" s="616">
        <v>0</v>
      </c>
      <c r="M24" s="616">
        <v>0</v>
      </c>
      <c r="N24" s="616">
        <v>5</v>
      </c>
      <c r="O24" s="616">
        <v>0</v>
      </c>
      <c r="P24" s="616">
        <v>12</v>
      </c>
      <c r="Q24" s="616">
        <v>0</v>
      </c>
      <c r="S24" s="327"/>
      <c r="T24" s="327">
        <v>6</v>
      </c>
    </row>
    <row r="25" spans="1:24" s="464" customFormat="1" ht="15" x14ac:dyDescent="0.25">
      <c r="A25" s="463">
        <v>42</v>
      </c>
      <c r="B25" s="616">
        <v>20</v>
      </c>
      <c r="C25" s="616">
        <v>6</v>
      </c>
      <c r="D25" s="616">
        <v>1</v>
      </c>
      <c r="E25" s="616">
        <v>3</v>
      </c>
      <c r="F25" s="616">
        <v>0</v>
      </c>
      <c r="G25" s="616">
        <v>33</v>
      </c>
      <c r="H25" s="616">
        <v>15</v>
      </c>
      <c r="I25" s="616">
        <v>6</v>
      </c>
      <c r="J25" s="616">
        <v>5</v>
      </c>
      <c r="K25" s="616">
        <v>1</v>
      </c>
      <c r="L25" s="616">
        <v>0</v>
      </c>
      <c r="M25" s="616">
        <v>0</v>
      </c>
      <c r="N25" s="616">
        <v>10</v>
      </c>
      <c r="O25" s="616">
        <v>1</v>
      </c>
      <c r="P25" s="616">
        <v>34</v>
      </c>
      <c r="Q25" s="616">
        <v>3</v>
      </c>
      <c r="S25" s="327"/>
      <c r="T25" s="327">
        <v>22</v>
      </c>
    </row>
    <row r="26" spans="1:24" s="464" customFormat="1" ht="15" x14ac:dyDescent="0.25">
      <c r="A26" s="463">
        <v>43</v>
      </c>
      <c r="B26" s="616">
        <v>7</v>
      </c>
      <c r="C26" s="616">
        <v>2</v>
      </c>
      <c r="D26" s="616">
        <v>1</v>
      </c>
      <c r="E26" s="616">
        <v>1</v>
      </c>
      <c r="F26" s="616">
        <v>0</v>
      </c>
      <c r="G26" s="616">
        <v>27</v>
      </c>
      <c r="H26" s="616">
        <v>20</v>
      </c>
      <c r="I26" s="616">
        <v>5</v>
      </c>
      <c r="J26" s="616">
        <v>0</v>
      </c>
      <c r="K26" s="616">
        <v>2</v>
      </c>
      <c r="L26" s="616">
        <v>1</v>
      </c>
      <c r="M26" s="616">
        <v>0</v>
      </c>
      <c r="N26" s="616">
        <v>9</v>
      </c>
      <c r="O26" s="616">
        <v>0</v>
      </c>
      <c r="P26" s="616">
        <v>118</v>
      </c>
      <c r="Q26" s="616">
        <v>2</v>
      </c>
      <c r="S26" s="327"/>
      <c r="T26" s="327">
        <v>20</v>
      </c>
    </row>
    <row r="27" spans="1:24" s="464" customFormat="1" ht="15" x14ac:dyDescent="0.25">
      <c r="A27" s="463">
        <v>44</v>
      </c>
      <c r="B27" s="616">
        <v>8</v>
      </c>
      <c r="C27" s="616">
        <v>4</v>
      </c>
      <c r="D27" s="616">
        <v>1</v>
      </c>
      <c r="E27" s="616">
        <v>7</v>
      </c>
      <c r="F27" s="616">
        <v>1</v>
      </c>
      <c r="G27" s="616">
        <v>28</v>
      </c>
      <c r="H27" s="616">
        <v>11</v>
      </c>
      <c r="I27" s="616">
        <v>7</v>
      </c>
      <c r="J27" s="616">
        <v>0</v>
      </c>
      <c r="K27" s="616">
        <v>3</v>
      </c>
      <c r="L27" s="616">
        <v>0</v>
      </c>
      <c r="M27" s="616">
        <v>1</v>
      </c>
      <c r="N27" s="616">
        <v>20</v>
      </c>
      <c r="O27" s="616">
        <v>0</v>
      </c>
      <c r="P27" s="616">
        <v>7</v>
      </c>
      <c r="Q27" s="616">
        <v>2</v>
      </c>
      <c r="S27" s="327"/>
      <c r="T27" s="327">
        <v>42</v>
      </c>
    </row>
    <row r="28" spans="1:24" s="464" customFormat="1" ht="15" x14ac:dyDescent="0.25">
      <c r="A28" s="463">
        <v>45</v>
      </c>
      <c r="B28" s="616">
        <v>1</v>
      </c>
      <c r="C28" s="616">
        <v>0</v>
      </c>
      <c r="D28" s="616">
        <v>0</v>
      </c>
      <c r="E28" s="616">
        <v>0</v>
      </c>
      <c r="F28" s="616">
        <v>0</v>
      </c>
      <c r="G28" s="616">
        <v>2</v>
      </c>
      <c r="H28" s="616">
        <v>1</v>
      </c>
      <c r="I28" s="616">
        <v>0</v>
      </c>
      <c r="J28" s="616">
        <v>0</v>
      </c>
      <c r="K28" s="616">
        <v>1</v>
      </c>
      <c r="L28" s="616">
        <v>0</v>
      </c>
      <c r="M28" s="616">
        <v>0</v>
      </c>
      <c r="N28" s="616">
        <v>7</v>
      </c>
      <c r="O28" s="616">
        <v>0</v>
      </c>
      <c r="P28" s="616">
        <v>0</v>
      </c>
      <c r="Q28" s="616">
        <v>0</v>
      </c>
      <c r="S28" s="327"/>
      <c r="T28" s="327">
        <v>18</v>
      </c>
    </row>
    <row r="29" spans="1:24" s="464" customFormat="1" ht="15" x14ac:dyDescent="0.25">
      <c r="A29" s="463">
        <v>46</v>
      </c>
      <c r="B29" s="616">
        <v>5</v>
      </c>
      <c r="C29" s="616">
        <v>2</v>
      </c>
      <c r="D29" s="616">
        <v>2</v>
      </c>
      <c r="E29" s="616">
        <v>1</v>
      </c>
      <c r="F29" s="616">
        <v>0</v>
      </c>
      <c r="G29" s="616">
        <v>20</v>
      </c>
      <c r="H29" s="616">
        <v>8</v>
      </c>
      <c r="I29" s="616">
        <v>2</v>
      </c>
      <c r="J29" s="616">
        <v>0</v>
      </c>
      <c r="K29" s="616">
        <v>1</v>
      </c>
      <c r="L29" s="616">
        <v>1</v>
      </c>
      <c r="M29" s="616">
        <v>0</v>
      </c>
      <c r="N29" s="616">
        <v>3</v>
      </c>
      <c r="O29" s="616">
        <v>0</v>
      </c>
      <c r="P29" s="616">
        <v>57</v>
      </c>
      <c r="Q29" s="616">
        <v>1</v>
      </c>
      <c r="S29" s="327"/>
      <c r="T29" s="327">
        <v>35</v>
      </c>
    </row>
    <row r="30" spans="1:24" x14ac:dyDescent="0.2">
      <c r="S30" s="539"/>
      <c r="T30" s="539"/>
      <c r="W30" s="464"/>
      <c r="X30" s="464"/>
    </row>
    <row r="31" spans="1:24" s="464" customFormat="1" ht="15" x14ac:dyDescent="0.25">
      <c r="A31" s="463">
        <v>51</v>
      </c>
      <c r="B31" s="617">
        <v>14</v>
      </c>
      <c r="C31" s="617">
        <v>2</v>
      </c>
      <c r="D31" s="617">
        <v>9</v>
      </c>
      <c r="E31" s="617">
        <v>5</v>
      </c>
      <c r="F31" s="617">
        <v>0</v>
      </c>
      <c r="G31" s="617">
        <v>35</v>
      </c>
      <c r="H31" s="617">
        <v>12</v>
      </c>
      <c r="I31" s="617">
        <v>5</v>
      </c>
      <c r="J31" s="617">
        <v>3</v>
      </c>
      <c r="K31" s="617">
        <v>2</v>
      </c>
      <c r="L31" s="617">
        <v>0</v>
      </c>
      <c r="M31" s="617">
        <v>0</v>
      </c>
      <c r="N31" s="617">
        <v>18</v>
      </c>
      <c r="O31" s="617">
        <v>0</v>
      </c>
      <c r="P31" s="617">
        <v>67</v>
      </c>
      <c r="Q31" s="617">
        <v>2</v>
      </c>
      <c r="S31" s="559">
        <v>36</v>
      </c>
      <c r="T31" s="327">
        <v>57</v>
      </c>
    </row>
    <row r="32" spans="1:24" s="464" customFormat="1" ht="15" x14ac:dyDescent="0.25">
      <c r="A32" s="463">
        <v>52</v>
      </c>
      <c r="B32" s="617">
        <v>5</v>
      </c>
      <c r="C32" s="617">
        <v>0</v>
      </c>
      <c r="D32" s="617">
        <v>0</v>
      </c>
      <c r="E32" s="617">
        <v>1</v>
      </c>
      <c r="F32" s="617">
        <v>0</v>
      </c>
      <c r="G32" s="617">
        <v>8</v>
      </c>
      <c r="H32" s="617">
        <v>10</v>
      </c>
      <c r="I32" s="617">
        <v>2</v>
      </c>
      <c r="J32" s="617">
        <v>4</v>
      </c>
      <c r="K32" s="617">
        <v>2</v>
      </c>
      <c r="L32" s="617">
        <v>1</v>
      </c>
      <c r="M32" s="617">
        <v>0</v>
      </c>
      <c r="N32" s="617">
        <v>4</v>
      </c>
      <c r="O32" s="617">
        <v>0</v>
      </c>
      <c r="P32" s="617">
        <v>0</v>
      </c>
      <c r="Q32" s="617">
        <v>0</v>
      </c>
      <c r="S32" s="559">
        <v>1</v>
      </c>
      <c r="T32" s="327">
        <v>35</v>
      </c>
    </row>
    <row r="33" spans="1:22" s="464" customFormat="1" ht="15" x14ac:dyDescent="0.25">
      <c r="A33" s="463">
        <v>53</v>
      </c>
      <c r="B33" s="617">
        <v>7</v>
      </c>
      <c r="C33" s="617">
        <v>0</v>
      </c>
      <c r="D33" s="617">
        <v>1</v>
      </c>
      <c r="E33" s="617">
        <v>6</v>
      </c>
      <c r="F33" s="617">
        <v>1</v>
      </c>
      <c r="G33" s="617">
        <v>7</v>
      </c>
      <c r="H33" s="617">
        <v>6</v>
      </c>
      <c r="I33" s="617">
        <v>3</v>
      </c>
      <c r="J33" s="617">
        <v>3</v>
      </c>
      <c r="K33" s="617">
        <v>3</v>
      </c>
      <c r="L33" s="617">
        <v>1</v>
      </c>
      <c r="M33" s="617">
        <v>0</v>
      </c>
      <c r="N33" s="617">
        <v>10</v>
      </c>
      <c r="O33" s="617">
        <v>1</v>
      </c>
      <c r="P33" s="617">
        <v>9</v>
      </c>
      <c r="Q33" s="617">
        <v>0</v>
      </c>
      <c r="S33" s="559">
        <v>15</v>
      </c>
      <c r="T33" s="327">
        <v>46</v>
      </c>
    </row>
    <row r="34" spans="1:22" s="464" customFormat="1" ht="15" x14ac:dyDescent="0.25">
      <c r="A34" s="463">
        <v>54</v>
      </c>
      <c r="B34" s="617">
        <v>10</v>
      </c>
      <c r="C34" s="617">
        <v>0</v>
      </c>
      <c r="D34" s="617">
        <v>6</v>
      </c>
      <c r="E34" s="617">
        <v>3</v>
      </c>
      <c r="F34" s="617">
        <v>0</v>
      </c>
      <c r="G34" s="617">
        <v>10</v>
      </c>
      <c r="H34" s="617">
        <v>7</v>
      </c>
      <c r="I34" s="617">
        <v>8</v>
      </c>
      <c r="J34" s="617">
        <v>4</v>
      </c>
      <c r="K34" s="617">
        <v>1</v>
      </c>
      <c r="L34" s="617">
        <v>1</v>
      </c>
      <c r="M34" s="617">
        <v>0</v>
      </c>
      <c r="N34" s="617">
        <v>27</v>
      </c>
      <c r="O34" s="617">
        <v>1</v>
      </c>
      <c r="P34" s="617">
        <v>7</v>
      </c>
      <c r="Q34" s="617">
        <v>1</v>
      </c>
      <c r="S34" s="327"/>
      <c r="T34" s="327">
        <v>39</v>
      </c>
    </row>
    <row r="35" spans="1:22" s="464" customFormat="1" ht="15" x14ac:dyDescent="0.25">
      <c r="A35" s="463">
        <v>55</v>
      </c>
      <c r="B35" s="617">
        <v>5</v>
      </c>
      <c r="C35" s="617">
        <v>1</v>
      </c>
      <c r="D35" s="617">
        <v>1</v>
      </c>
      <c r="E35" s="617">
        <v>0</v>
      </c>
      <c r="F35" s="617">
        <v>0</v>
      </c>
      <c r="G35" s="617">
        <v>25</v>
      </c>
      <c r="H35" s="617">
        <v>12</v>
      </c>
      <c r="I35" s="617">
        <v>9</v>
      </c>
      <c r="J35" s="617">
        <v>3</v>
      </c>
      <c r="K35" s="617">
        <v>1</v>
      </c>
      <c r="L35" s="617">
        <v>0</v>
      </c>
      <c r="M35" s="617">
        <v>2</v>
      </c>
      <c r="N35" s="617">
        <v>22</v>
      </c>
      <c r="O35" s="617">
        <v>0</v>
      </c>
      <c r="P35" s="617">
        <v>15</v>
      </c>
      <c r="Q35" s="617">
        <v>1</v>
      </c>
      <c r="S35" s="327"/>
      <c r="T35" s="327">
        <v>22</v>
      </c>
    </row>
    <row r="36" spans="1:22" s="464" customFormat="1" ht="15" x14ac:dyDescent="0.25">
      <c r="A36" s="463">
        <v>56</v>
      </c>
      <c r="B36" s="617">
        <v>3</v>
      </c>
      <c r="C36" s="617">
        <v>0</v>
      </c>
      <c r="D36" s="617">
        <v>0</v>
      </c>
      <c r="E36" s="617">
        <v>1</v>
      </c>
      <c r="F36" s="617">
        <v>1</v>
      </c>
      <c r="G36" s="617">
        <v>2</v>
      </c>
      <c r="H36" s="617">
        <v>1</v>
      </c>
      <c r="I36" s="617">
        <v>0</v>
      </c>
      <c r="J36" s="617">
        <v>0</v>
      </c>
      <c r="K36" s="617">
        <v>1</v>
      </c>
      <c r="L36" s="617">
        <v>0</v>
      </c>
      <c r="M36" s="617">
        <v>0</v>
      </c>
      <c r="N36" s="617">
        <v>4</v>
      </c>
      <c r="O36" s="617">
        <v>1</v>
      </c>
      <c r="P36" s="617">
        <v>0</v>
      </c>
      <c r="Q36" s="617">
        <v>0</v>
      </c>
      <c r="S36" s="327"/>
      <c r="T36" s="327">
        <v>16</v>
      </c>
    </row>
    <row r="37" spans="1:22" x14ac:dyDescent="0.2">
      <c r="S37" s="539"/>
      <c r="T37" s="539"/>
    </row>
    <row r="38" spans="1:22" s="464" customFormat="1" ht="15" x14ac:dyDescent="0.25">
      <c r="A38" s="463">
        <v>61</v>
      </c>
      <c r="B38" s="618">
        <v>2</v>
      </c>
      <c r="C38" s="618">
        <v>0</v>
      </c>
      <c r="D38" s="618">
        <v>0</v>
      </c>
      <c r="E38" s="618">
        <v>1</v>
      </c>
      <c r="F38" s="618">
        <v>2</v>
      </c>
      <c r="G38" s="618">
        <v>24</v>
      </c>
      <c r="H38" s="618">
        <v>9</v>
      </c>
      <c r="I38" s="618">
        <v>9</v>
      </c>
      <c r="J38" s="618">
        <v>0</v>
      </c>
      <c r="K38" s="618">
        <v>3</v>
      </c>
      <c r="L38" s="618">
        <v>0</v>
      </c>
      <c r="M38" s="618">
        <v>0</v>
      </c>
      <c r="N38" s="618">
        <v>17</v>
      </c>
      <c r="O38" s="618">
        <v>0</v>
      </c>
      <c r="P38" s="618">
        <v>40</v>
      </c>
      <c r="Q38" s="618">
        <v>2</v>
      </c>
      <c r="S38" s="327"/>
      <c r="T38" s="327">
        <v>27</v>
      </c>
    </row>
    <row r="39" spans="1:22" s="464" customFormat="1" ht="15" x14ac:dyDescent="0.25">
      <c r="A39" s="463">
        <v>62</v>
      </c>
      <c r="B39" s="618">
        <v>9</v>
      </c>
      <c r="C39" s="618">
        <v>1</v>
      </c>
      <c r="D39" s="618">
        <v>0</v>
      </c>
      <c r="E39" s="618">
        <v>2</v>
      </c>
      <c r="F39" s="618">
        <v>0</v>
      </c>
      <c r="G39" s="618">
        <v>28</v>
      </c>
      <c r="H39" s="618">
        <v>14</v>
      </c>
      <c r="I39" s="618">
        <v>7</v>
      </c>
      <c r="J39" s="618">
        <v>1</v>
      </c>
      <c r="K39" s="618">
        <v>3</v>
      </c>
      <c r="L39" s="618">
        <v>1</v>
      </c>
      <c r="M39" s="618">
        <v>1</v>
      </c>
      <c r="N39" s="618">
        <v>18</v>
      </c>
      <c r="O39" s="618">
        <v>0</v>
      </c>
      <c r="P39" s="618">
        <v>3</v>
      </c>
      <c r="Q39" s="618">
        <v>2</v>
      </c>
      <c r="S39" s="327"/>
      <c r="T39" s="327">
        <v>49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  <row r="48" spans="1:22" x14ac:dyDescent="0.2">
      <c r="S48" s="463"/>
      <c r="T48" s="463"/>
      <c r="U48" s="463"/>
      <c r="V48" s="463"/>
    </row>
    <row r="49" spans="19:22" x14ac:dyDescent="0.2">
      <c r="S49" s="463"/>
      <c r="T49" s="463"/>
      <c r="U49" s="463"/>
      <c r="V49" s="463"/>
    </row>
    <row r="50" spans="19:22" x14ac:dyDescent="0.2">
      <c r="S50" s="463"/>
      <c r="T50" s="463"/>
      <c r="U50" s="463"/>
      <c r="V50" s="463"/>
    </row>
    <row r="51" spans="19:22" x14ac:dyDescent="0.2">
      <c r="S51" s="463"/>
      <c r="T51" s="463"/>
      <c r="U51" s="463"/>
      <c r="V51" s="463"/>
    </row>
    <row r="52" spans="19:22" x14ac:dyDescent="0.2">
      <c r="S52" s="463"/>
      <c r="T52" s="463"/>
      <c r="U52" s="463"/>
      <c r="V52" s="463"/>
    </row>
    <row r="53" spans="19:22" x14ac:dyDescent="0.2">
      <c r="S53" s="463"/>
      <c r="T53" s="463"/>
      <c r="U53" s="463"/>
      <c r="V53" s="463"/>
    </row>
    <row r="54" spans="19:22" x14ac:dyDescent="0.2">
      <c r="S54" s="463"/>
      <c r="T54" s="463"/>
      <c r="U54" s="463"/>
      <c r="V54" s="463"/>
    </row>
    <row r="55" spans="19:22" x14ac:dyDescent="0.2">
      <c r="S55" s="463"/>
      <c r="T55" s="463"/>
      <c r="U55" s="463"/>
      <c r="V55" s="463"/>
    </row>
    <row r="56" spans="19:22" x14ac:dyDescent="0.2">
      <c r="S56" s="463"/>
      <c r="T56" s="463"/>
      <c r="U56" s="463"/>
      <c r="V56" s="463"/>
    </row>
    <row r="57" spans="19:22" x14ac:dyDescent="0.2">
      <c r="S57" s="463"/>
      <c r="T57" s="463"/>
      <c r="U57" s="463"/>
      <c r="V57" s="463"/>
    </row>
    <row r="58" spans="19:22" x14ac:dyDescent="0.2">
      <c r="S58" s="463"/>
      <c r="T58" s="463"/>
      <c r="U58" s="463"/>
      <c r="V58" s="463"/>
    </row>
    <row r="59" spans="19:22" x14ac:dyDescent="0.2">
      <c r="S59" s="463"/>
      <c r="T59" s="463"/>
      <c r="U59" s="463"/>
      <c r="V59" s="463"/>
    </row>
    <row r="60" spans="19:22" x14ac:dyDescent="0.2">
      <c r="S60" s="463"/>
      <c r="T60" s="463"/>
      <c r="U60" s="463"/>
      <c r="V60" s="463"/>
    </row>
    <row r="61" spans="19:22" x14ac:dyDescent="0.2">
      <c r="S61" s="463"/>
      <c r="T61" s="463"/>
      <c r="U61" s="463"/>
      <c r="V61" s="463"/>
    </row>
    <row r="62" spans="19:22" x14ac:dyDescent="0.2">
      <c r="S62" s="463"/>
      <c r="T62" s="463"/>
      <c r="U62" s="463"/>
      <c r="V62" s="463"/>
    </row>
    <row r="63" spans="19:22" x14ac:dyDescent="0.2">
      <c r="S63" s="463"/>
      <c r="T63" s="463"/>
      <c r="U63" s="463"/>
      <c r="V63" s="463"/>
    </row>
    <row r="64" spans="19:22" x14ac:dyDescent="0.2">
      <c r="S64" s="463"/>
      <c r="T64" s="463"/>
      <c r="U64" s="463"/>
      <c r="V64" s="463"/>
    </row>
    <row r="65" spans="19:22" x14ac:dyDescent="0.2">
      <c r="S65" s="463"/>
      <c r="T65" s="463"/>
      <c r="U65" s="463"/>
      <c r="V65" s="463"/>
    </row>
    <row r="66" spans="19:22" x14ac:dyDescent="0.2">
      <c r="S66" s="463"/>
      <c r="T66" s="463"/>
      <c r="U66" s="463"/>
      <c r="V66" s="463"/>
    </row>
    <row r="67" spans="19:22" x14ac:dyDescent="0.2">
      <c r="S67" s="463"/>
      <c r="T67" s="463"/>
      <c r="U67" s="463"/>
      <c r="V67" s="463"/>
    </row>
    <row r="68" spans="19:22" x14ac:dyDescent="0.2">
      <c r="S68" s="463"/>
      <c r="T68" s="463"/>
      <c r="U68" s="463"/>
      <c r="V68" s="463"/>
    </row>
    <row r="69" spans="19:22" x14ac:dyDescent="0.2">
      <c r="S69" s="463"/>
      <c r="T69" s="463"/>
      <c r="U69" s="463"/>
      <c r="V69" s="463"/>
    </row>
    <row r="70" spans="19:22" x14ac:dyDescent="0.2">
      <c r="S70" s="463"/>
      <c r="T70" s="463"/>
      <c r="U70" s="463"/>
      <c r="V70" s="463"/>
    </row>
    <row r="71" spans="19:22" x14ac:dyDescent="0.2">
      <c r="S71" s="463"/>
      <c r="T71" s="463"/>
      <c r="U71" s="463"/>
      <c r="V71" s="463"/>
    </row>
    <row r="72" spans="19:22" x14ac:dyDescent="0.2">
      <c r="S72" s="463"/>
      <c r="T72" s="463"/>
      <c r="U72" s="463"/>
      <c r="V72" s="463"/>
    </row>
    <row r="73" spans="19:22" x14ac:dyDescent="0.2">
      <c r="S73" s="463"/>
      <c r="T73" s="463"/>
      <c r="U73" s="463"/>
      <c r="V73" s="463"/>
    </row>
    <row r="74" spans="19:22" x14ac:dyDescent="0.2">
      <c r="S74" s="463"/>
      <c r="T74" s="463"/>
      <c r="U74" s="463"/>
      <c r="V74" s="463"/>
    </row>
    <row r="75" spans="19:22" x14ac:dyDescent="0.2">
      <c r="S75" s="463"/>
      <c r="T75" s="463"/>
      <c r="U75" s="463"/>
      <c r="V75" s="463"/>
    </row>
    <row r="76" spans="19:22" x14ac:dyDescent="0.2">
      <c r="S76" s="463"/>
      <c r="T76" s="463"/>
      <c r="U76" s="463"/>
      <c r="V76" s="463"/>
    </row>
    <row r="77" spans="19:22" x14ac:dyDescent="0.2">
      <c r="S77" s="463"/>
      <c r="T77" s="463"/>
      <c r="U77" s="463"/>
      <c r="V77" s="463"/>
    </row>
    <row r="78" spans="19:22" x14ac:dyDescent="0.2">
      <c r="S78" s="463"/>
      <c r="T78" s="463"/>
      <c r="U78" s="463"/>
      <c r="V78" s="463"/>
    </row>
    <row r="79" spans="19:22" x14ac:dyDescent="0.2">
      <c r="S79" s="463"/>
      <c r="T79" s="463"/>
      <c r="U79" s="463"/>
      <c r="V79" s="463"/>
    </row>
    <row r="80" spans="19:22" x14ac:dyDescent="0.2">
      <c r="S80" s="463"/>
      <c r="T80" s="463"/>
      <c r="U80" s="463"/>
      <c r="V80" s="463"/>
    </row>
    <row r="81" spans="19:22" x14ac:dyDescent="0.2">
      <c r="S81" s="463"/>
      <c r="T81" s="463"/>
      <c r="U81" s="463"/>
      <c r="V81" s="463"/>
    </row>
    <row r="82" spans="19:22" x14ac:dyDescent="0.2">
      <c r="S82" s="463"/>
      <c r="T82" s="463"/>
      <c r="U82" s="463"/>
      <c r="V82" s="463"/>
    </row>
    <row r="83" spans="19:22" x14ac:dyDescent="0.2">
      <c r="S83" s="463"/>
      <c r="T83" s="463"/>
      <c r="U83" s="463"/>
      <c r="V83" s="463"/>
    </row>
    <row r="84" spans="19:22" x14ac:dyDescent="0.2">
      <c r="S84" s="463"/>
      <c r="T84" s="463"/>
      <c r="U84" s="463"/>
      <c r="V84" s="463"/>
    </row>
    <row r="85" spans="19:22" x14ac:dyDescent="0.2">
      <c r="S85" s="463"/>
      <c r="T85" s="463"/>
      <c r="U85" s="463"/>
      <c r="V85" s="463"/>
    </row>
    <row r="86" spans="19:22" x14ac:dyDescent="0.2">
      <c r="S86" s="463"/>
      <c r="T86" s="463"/>
      <c r="U86" s="463"/>
      <c r="V86" s="463"/>
    </row>
    <row r="87" spans="19:22" x14ac:dyDescent="0.2">
      <c r="S87" s="463"/>
      <c r="T87" s="463"/>
      <c r="U87" s="463"/>
      <c r="V87" s="463"/>
    </row>
    <row r="88" spans="19:22" x14ac:dyDescent="0.2">
      <c r="S88" s="463"/>
      <c r="T88" s="463"/>
      <c r="U88" s="463"/>
      <c r="V88" s="463"/>
    </row>
    <row r="89" spans="19:22" x14ac:dyDescent="0.2">
      <c r="S89" s="463"/>
      <c r="T89" s="463"/>
      <c r="U89" s="463"/>
      <c r="V89" s="463"/>
    </row>
    <row r="90" spans="19:22" x14ac:dyDescent="0.2">
      <c r="S90" s="463"/>
      <c r="T90" s="463"/>
      <c r="U90" s="463"/>
      <c r="V90" s="463"/>
    </row>
    <row r="91" spans="19:22" x14ac:dyDescent="0.2">
      <c r="S91" s="463"/>
      <c r="T91" s="463"/>
      <c r="U91" s="463"/>
      <c r="V91" s="463"/>
    </row>
    <row r="92" spans="19:22" x14ac:dyDescent="0.2">
      <c r="S92" s="463"/>
      <c r="T92" s="463"/>
      <c r="U92" s="463"/>
      <c r="V92" s="463"/>
    </row>
    <row r="93" spans="19:22" x14ac:dyDescent="0.2">
      <c r="S93" s="463"/>
      <c r="T93" s="463"/>
      <c r="U93" s="463"/>
      <c r="V93" s="463"/>
    </row>
    <row r="94" spans="19:22" x14ac:dyDescent="0.2">
      <c r="S94" s="463"/>
      <c r="T94" s="463"/>
      <c r="U94" s="463"/>
      <c r="V94" s="463"/>
    </row>
    <row r="95" spans="19:22" x14ac:dyDescent="0.2">
      <c r="S95" s="463"/>
      <c r="T95" s="463"/>
      <c r="U95" s="463"/>
      <c r="V95" s="46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V47"/>
  <sheetViews>
    <sheetView zoomScaleNormal="100" workbookViewId="0">
      <selection activeCell="B38" sqref="B38:Q39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ht="15" x14ac:dyDescent="0.25">
      <c r="A3" s="463">
        <v>11</v>
      </c>
      <c r="B3" s="607">
        <v>9</v>
      </c>
      <c r="C3" s="607">
        <v>2</v>
      </c>
      <c r="D3" s="607">
        <v>2</v>
      </c>
      <c r="E3" s="607">
        <v>1</v>
      </c>
      <c r="F3" s="607">
        <v>0</v>
      </c>
      <c r="G3" s="607">
        <v>13</v>
      </c>
      <c r="H3" s="607">
        <v>14</v>
      </c>
      <c r="I3" s="607">
        <v>8</v>
      </c>
      <c r="J3" s="607">
        <v>3</v>
      </c>
      <c r="K3" s="607">
        <v>2</v>
      </c>
      <c r="L3" s="607">
        <v>1</v>
      </c>
      <c r="M3" s="607">
        <v>1</v>
      </c>
      <c r="N3" s="607">
        <v>5</v>
      </c>
      <c r="O3" s="607">
        <v>0</v>
      </c>
      <c r="P3" s="607">
        <v>0</v>
      </c>
      <c r="Q3" s="607">
        <v>1</v>
      </c>
      <c r="S3" s="327"/>
      <c r="T3" s="327">
        <v>5</v>
      </c>
    </row>
    <row r="4" spans="1:20" s="464" customFormat="1" ht="15" x14ac:dyDescent="0.25">
      <c r="A4" s="463">
        <v>12</v>
      </c>
      <c r="B4" s="607">
        <v>15</v>
      </c>
      <c r="C4" s="607">
        <v>2</v>
      </c>
      <c r="D4" s="607">
        <v>2</v>
      </c>
      <c r="E4" s="607">
        <v>2</v>
      </c>
      <c r="F4" s="607">
        <v>0</v>
      </c>
      <c r="G4" s="607">
        <v>27</v>
      </c>
      <c r="H4" s="607">
        <v>13</v>
      </c>
      <c r="I4" s="607">
        <v>8</v>
      </c>
      <c r="J4" s="607">
        <v>2</v>
      </c>
      <c r="K4" s="607">
        <v>3</v>
      </c>
      <c r="L4" s="607">
        <v>1</v>
      </c>
      <c r="M4" s="607">
        <v>1</v>
      </c>
      <c r="N4" s="607">
        <v>39</v>
      </c>
      <c r="O4" s="607">
        <v>0</v>
      </c>
      <c r="P4" s="607">
        <v>13</v>
      </c>
      <c r="Q4" s="607">
        <v>3</v>
      </c>
      <c r="S4" s="327"/>
      <c r="T4" s="327">
        <v>25</v>
      </c>
    </row>
    <row r="5" spans="1:20" s="464" customFormat="1" ht="15" x14ac:dyDescent="0.25">
      <c r="A5" s="463">
        <v>13</v>
      </c>
      <c r="B5" s="607">
        <v>11</v>
      </c>
      <c r="C5" s="607">
        <v>4</v>
      </c>
      <c r="D5" s="607">
        <v>0</v>
      </c>
      <c r="E5" s="607">
        <v>7</v>
      </c>
      <c r="F5" s="607">
        <v>0</v>
      </c>
      <c r="G5" s="607">
        <v>24</v>
      </c>
      <c r="H5" s="607">
        <v>8</v>
      </c>
      <c r="I5" s="607">
        <v>7</v>
      </c>
      <c r="J5" s="607">
        <v>3</v>
      </c>
      <c r="K5" s="607">
        <v>0</v>
      </c>
      <c r="L5" s="607">
        <v>0</v>
      </c>
      <c r="M5" s="607">
        <v>2</v>
      </c>
      <c r="N5" s="607">
        <v>13</v>
      </c>
      <c r="O5" s="607">
        <v>2</v>
      </c>
      <c r="P5" s="607">
        <v>4</v>
      </c>
      <c r="Q5" s="607">
        <v>1</v>
      </c>
      <c r="S5" s="559">
        <v>3</v>
      </c>
      <c r="T5" s="327">
        <v>44</v>
      </c>
    </row>
    <row r="6" spans="1:20" s="464" customFormat="1" ht="15" x14ac:dyDescent="0.25">
      <c r="A6" s="463">
        <v>14</v>
      </c>
      <c r="B6" s="607">
        <v>5</v>
      </c>
      <c r="C6" s="607">
        <v>4</v>
      </c>
      <c r="D6" s="607">
        <v>0</v>
      </c>
      <c r="E6" s="607">
        <v>1</v>
      </c>
      <c r="F6" s="607">
        <v>0</v>
      </c>
      <c r="G6" s="607">
        <v>11</v>
      </c>
      <c r="H6" s="607">
        <v>3</v>
      </c>
      <c r="I6" s="607">
        <v>9</v>
      </c>
      <c r="J6" s="607">
        <v>2</v>
      </c>
      <c r="K6" s="607">
        <v>1</v>
      </c>
      <c r="L6" s="607">
        <v>0</v>
      </c>
      <c r="M6" s="607">
        <v>0</v>
      </c>
      <c r="N6" s="607">
        <v>18</v>
      </c>
      <c r="O6" s="607">
        <v>1</v>
      </c>
      <c r="P6" s="607">
        <v>3</v>
      </c>
      <c r="Q6" s="607">
        <v>0</v>
      </c>
      <c r="S6" s="327"/>
      <c r="T6" s="327">
        <v>48</v>
      </c>
    </row>
    <row r="7" spans="1:20" s="464" customFormat="1" ht="15" x14ac:dyDescent="0.25">
      <c r="A7" s="463">
        <v>15</v>
      </c>
      <c r="B7" s="607">
        <v>8</v>
      </c>
      <c r="C7" s="607">
        <v>5</v>
      </c>
      <c r="D7" s="607">
        <v>2</v>
      </c>
      <c r="E7" s="607">
        <v>3</v>
      </c>
      <c r="F7" s="607">
        <v>1</v>
      </c>
      <c r="G7" s="607">
        <v>20</v>
      </c>
      <c r="H7" s="607">
        <v>8</v>
      </c>
      <c r="I7" s="607">
        <v>4</v>
      </c>
      <c r="J7" s="607">
        <v>3</v>
      </c>
      <c r="K7" s="607">
        <v>2</v>
      </c>
      <c r="L7" s="607">
        <v>2</v>
      </c>
      <c r="M7" s="607">
        <v>1</v>
      </c>
      <c r="N7" s="607">
        <v>19</v>
      </c>
      <c r="O7" s="607">
        <v>3</v>
      </c>
      <c r="P7" s="607">
        <v>9</v>
      </c>
      <c r="Q7" s="607">
        <v>1</v>
      </c>
      <c r="S7" s="327"/>
      <c r="T7" s="327">
        <v>36</v>
      </c>
    </row>
    <row r="8" spans="1:20" s="464" customFormat="1" ht="15" x14ac:dyDescent="0.25">
      <c r="A8" s="463">
        <v>16</v>
      </c>
      <c r="B8" s="607">
        <v>10</v>
      </c>
      <c r="C8" s="607">
        <v>6</v>
      </c>
      <c r="D8" s="607">
        <v>1</v>
      </c>
      <c r="E8" s="607">
        <v>2</v>
      </c>
      <c r="F8" s="607">
        <v>0</v>
      </c>
      <c r="G8" s="607">
        <v>33</v>
      </c>
      <c r="H8" s="607">
        <v>12</v>
      </c>
      <c r="I8" s="607">
        <v>6</v>
      </c>
      <c r="J8" s="607">
        <v>1</v>
      </c>
      <c r="K8" s="607">
        <v>0</v>
      </c>
      <c r="L8" s="607">
        <v>0</v>
      </c>
      <c r="M8" s="607">
        <v>0</v>
      </c>
      <c r="N8" s="607">
        <v>8</v>
      </c>
      <c r="O8" s="607">
        <v>2</v>
      </c>
      <c r="P8" s="607">
        <v>28</v>
      </c>
      <c r="Q8" s="607">
        <v>3</v>
      </c>
      <c r="S8" s="327"/>
      <c r="T8" s="327">
        <v>27</v>
      </c>
    </row>
    <row r="9" spans="1:20" ht="15" x14ac:dyDescent="0.25">
      <c r="S9" s="538"/>
      <c r="T9" s="539"/>
    </row>
    <row r="10" spans="1:20" s="464" customFormat="1" ht="15" x14ac:dyDescent="0.25">
      <c r="A10" s="463">
        <v>21</v>
      </c>
      <c r="B10" s="608">
        <v>13</v>
      </c>
      <c r="C10" s="608">
        <v>1</v>
      </c>
      <c r="D10" s="608">
        <v>2</v>
      </c>
      <c r="E10" s="608">
        <v>3</v>
      </c>
      <c r="F10" s="608">
        <v>2</v>
      </c>
      <c r="G10" s="608">
        <v>6</v>
      </c>
      <c r="H10" s="608">
        <v>7</v>
      </c>
      <c r="I10" s="608">
        <v>4</v>
      </c>
      <c r="J10" s="608">
        <v>7</v>
      </c>
      <c r="K10" s="608">
        <v>1</v>
      </c>
      <c r="L10" s="608">
        <v>0</v>
      </c>
      <c r="M10" s="608">
        <v>0</v>
      </c>
      <c r="N10" s="608">
        <v>8</v>
      </c>
      <c r="O10" s="608">
        <v>0</v>
      </c>
      <c r="P10" s="608">
        <v>4</v>
      </c>
      <c r="Q10" s="608">
        <v>4</v>
      </c>
      <c r="S10" s="327"/>
      <c r="T10" s="327">
        <v>39</v>
      </c>
    </row>
    <row r="11" spans="1:20" s="464" customFormat="1" ht="15" x14ac:dyDescent="0.25">
      <c r="A11" s="463">
        <v>22</v>
      </c>
      <c r="B11" s="608">
        <v>10</v>
      </c>
      <c r="C11" s="608">
        <v>2</v>
      </c>
      <c r="D11" s="608">
        <v>0</v>
      </c>
      <c r="E11" s="608">
        <v>2</v>
      </c>
      <c r="F11" s="608">
        <v>0</v>
      </c>
      <c r="G11" s="608">
        <v>50</v>
      </c>
      <c r="H11" s="608">
        <v>39</v>
      </c>
      <c r="I11" s="608">
        <v>14</v>
      </c>
      <c r="J11" s="608">
        <v>3</v>
      </c>
      <c r="K11" s="608">
        <v>2</v>
      </c>
      <c r="L11" s="608">
        <v>13</v>
      </c>
      <c r="M11" s="608">
        <v>0</v>
      </c>
      <c r="N11" s="608">
        <v>4</v>
      </c>
      <c r="O11" s="608">
        <v>0</v>
      </c>
      <c r="P11" s="608">
        <v>20</v>
      </c>
      <c r="Q11" s="608">
        <v>9</v>
      </c>
      <c r="S11" s="581">
        <v>5</v>
      </c>
      <c r="T11" s="327">
        <v>10</v>
      </c>
    </row>
    <row r="12" spans="1:20" s="464" customFormat="1" ht="15" x14ac:dyDescent="0.25">
      <c r="A12" s="463">
        <v>23</v>
      </c>
      <c r="B12" s="608">
        <v>7</v>
      </c>
      <c r="C12" s="608">
        <v>0</v>
      </c>
      <c r="D12" s="608">
        <v>0</v>
      </c>
      <c r="E12" s="608">
        <v>1</v>
      </c>
      <c r="F12" s="608">
        <v>0</v>
      </c>
      <c r="G12" s="608">
        <v>28</v>
      </c>
      <c r="H12" s="608">
        <v>18</v>
      </c>
      <c r="I12" s="608">
        <v>4</v>
      </c>
      <c r="J12" s="608">
        <v>2</v>
      </c>
      <c r="K12" s="608">
        <v>0</v>
      </c>
      <c r="L12" s="608">
        <v>2</v>
      </c>
      <c r="M12" s="608">
        <v>1</v>
      </c>
      <c r="N12" s="608">
        <v>2</v>
      </c>
      <c r="O12" s="608">
        <v>0</v>
      </c>
      <c r="P12" s="608">
        <v>7</v>
      </c>
      <c r="Q12" s="608">
        <v>6</v>
      </c>
      <c r="S12" s="581">
        <v>20</v>
      </c>
      <c r="T12" s="327">
        <v>15</v>
      </c>
    </row>
    <row r="13" spans="1:20" s="464" customFormat="1" ht="15" x14ac:dyDescent="0.25">
      <c r="A13" s="463">
        <v>24</v>
      </c>
      <c r="B13" s="608">
        <v>11</v>
      </c>
      <c r="C13" s="608">
        <v>1</v>
      </c>
      <c r="D13" s="608">
        <v>0</v>
      </c>
      <c r="E13" s="608">
        <v>0</v>
      </c>
      <c r="F13" s="608">
        <v>0</v>
      </c>
      <c r="G13" s="608">
        <v>58</v>
      </c>
      <c r="H13" s="608">
        <v>15</v>
      </c>
      <c r="I13" s="608">
        <v>17</v>
      </c>
      <c r="J13" s="608">
        <v>1</v>
      </c>
      <c r="K13" s="608">
        <v>4</v>
      </c>
      <c r="L13" s="608">
        <v>3</v>
      </c>
      <c r="M13" s="608">
        <v>0</v>
      </c>
      <c r="N13" s="608">
        <v>6</v>
      </c>
      <c r="O13" s="608">
        <v>0</v>
      </c>
      <c r="P13" s="608">
        <v>18</v>
      </c>
      <c r="Q13" s="608">
        <v>13</v>
      </c>
      <c r="S13" s="581">
        <v>19</v>
      </c>
      <c r="T13" s="327">
        <v>36</v>
      </c>
    </row>
    <row r="14" spans="1:20" s="464" customFormat="1" ht="15" x14ac:dyDescent="0.25">
      <c r="A14" s="463">
        <v>25</v>
      </c>
      <c r="B14" s="608">
        <v>16</v>
      </c>
      <c r="C14" s="608">
        <v>7</v>
      </c>
      <c r="D14" s="608">
        <v>1</v>
      </c>
      <c r="E14" s="608">
        <v>4</v>
      </c>
      <c r="F14" s="608">
        <v>0</v>
      </c>
      <c r="G14" s="608">
        <v>41</v>
      </c>
      <c r="H14" s="608">
        <v>8</v>
      </c>
      <c r="I14" s="608">
        <v>11</v>
      </c>
      <c r="J14" s="608">
        <v>2</v>
      </c>
      <c r="K14" s="608">
        <v>3</v>
      </c>
      <c r="L14" s="608">
        <v>1</v>
      </c>
      <c r="M14" s="608">
        <v>1</v>
      </c>
      <c r="N14" s="608">
        <v>9</v>
      </c>
      <c r="O14" s="608">
        <v>0</v>
      </c>
      <c r="P14" s="608">
        <v>5</v>
      </c>
      <c r="Q14" s="608">
        <v>13</v>
      </c>
      <c r="S14" s="581">
        <v>30</v>
      </c>
      <c r="T14" s="327">
        <v>39</v>
      </c>
    </row>
    <row r="15" spans="1:20" s="464" customFormat="1" ht="15" x14ac:dyDescent="0.25">
      <c r="A15" s="463">
        <v>26</v>
      </c>
      <c r="B15" s="608">
        <v>6</v>
      </c>
      <c r="C15" s="608">
        <v>4</v>
      </c>
      <c r="D15" s="608">
        <v>0</v>
      </c>
      <c r="E15" s="608">
        <v>17</v>
      </c>
      <c r="F15" s="608">
        <v>1</v>
      </c>
      <c r="G15" s="608">
        <v>9</v>
      </c>
      <c r="H15" s="608">
        <v>12</v>
      </c>
      <c r="I15" s="608">
        <v>7</v>
      </c>
      <c r="J15" s="608">
        <v>1</v>
      </c>
      <c r="K15" s="608">
        <v>3</v>
      </c>
      <c r="L15" s="608">
        <v>0</v>
      </c>
      <c r="M15" s="608">
        <v>0</v>
      </c>
      <c r="N15" s="608">
        <v>17</v>
      </c>
      <c r="O15" s="608">
        <v>0</v>
      </c>
      <c r="P15" s="608">
        <v>10</v>
      </c>
      <c r="Q15" s="608">
        <v>13</v>
      </c>
      <c r="S15" s="581">
        <v>88</v>
      </c>
      <c r="T15" s="327">
        <v>47</v>
      </c>
    </row>
    <row r="16" spans="1:20" ht="15" x14ac:dyDescent="0.25">
      <c r="S16" s="538"/>
      <c r="T16" s="539"/>
    </row>
    <row r="17" spans="1:20" s="464" customFormat="1" ht="15" x14ac:dyDescent="0.25">
      <c r="A17" s="463">
        <v>31</v>
      </c>
      <c r="B17" s="609">
        <v>15</v>
      </c>
      <c r="C17" s="609">
        <v>3</v>
      </c>
      <c r="D17" s="609">
        <v>0</v>
      </c>
      <c r="E17" s="609">
        <v>7</v>
      </c>
      <c r="F17" s="609">
        <v>1</v>
      </c>
      <c r="G17" s="609">
        <v>13</v>
      </c>
      <c r="H17" s="609">
        <v>8</v>
      </c>
      <c r="I17" s="609">
        <v>7</v>
      </c>
      <c r="J17" s="609">
        <v>1</v>
      </c>
      <c r="K17" s="609">
        <v>1</v>
      </c>
      <c r="L17" s="609">
        <v>2</v>
      </c>
      <c r="M17" s="609">
        <v>0</v>
      </c>
      <c r="N17" s="609">
        <v>19</v>
      </c>
      <c r="O17" s="609">
        <v>1</v>
      </c>
      <c r="P17" s="609">
        <v>1</v>
      </c>
      <c r="Q17" s="609">
        <v>2</v>
      </c>
      <c r="S17" s="581">
        <v>96</v>
      </c>
      <c r="T17" s="327">
        <v>53</v>
      </c>
    </row>
    <row r="18" spans="1:20" s="464" customFormat="1" ht="15" x14ac:dyDescent="0.25">
      <c r="A18" s="463">
        <v>32</v>
      </c>
      <c r="B18" s="609">
        <v>12</v>
      </c>
      <c r="C18" s="609">
        <v>3</v>
      </c>
      <c r="D18" s="609">
        <v>2</v>
      </c>
      <c r="E18" s="609">
        <v>4</v>
      </c>
      <c r="F18" s="609">
        <v>1</v>
      </c>
      <c r="G18" s="609">
        <v>27</v>
      </c>
      <c r="H18" s="609">
        <v>16</v>
      </c>
      <c r="I18" s="609">
        <v>5</v>
      </c>
      <c r="J18" s="609">
        <v>2</v>
      </c>
      <c r="K18" s="609">
        <v>1</v>
      </c>
      <c r="L18" s="609">
        <v>2</v>
      </c>
      <c r="M18" s="609">
        <v>1</v>
      </c>
      <c r="N18" s="609">
        <v>14</v>
      </c>
      <c r="O18" s="609">
        <v>0</v>
      </c>
      <c r="P18" s="609">
        <v>9</v>
      </c>
      <c r="Q18" s="609">
        <v>5</v>
      </c>
      <c r="S18" s="581">
        <v>1</v>
      </c>
      <c r="T18" s="327">
        <v>23</v>
      </c>
    </row>
    <row r="19" spans="1:20" s="464" customFormat="1" ht="15" x14ac:dyDescent="0.25">
      <c r="A19" s="463">
        <v>33</v>
      </c>
      <c r="B19" s="609">
        <v>16</v>
      </c>
      <c r="C19" s="609">
        <v>11</v>
      </c>
      <c r="D19" s="609">
        <v>1</v>
      </c>
      <c r="E19" s="609">
        <v>2</v>
      </c>
      <c r="F19" s="609">
        <v>5</v>
      </c>
      <c r="G19" s="609">
        <v>37</v>
      </c>
      <c r="H19" s="609">
        <v>25</v>
      </c>
      <c r="I19" s="609">
        <v>25</v>
      </c>
      <c r="J19" s="609">
        <v>4</v>
      </c>
      <c r="K19" s="609">
        <v>3</v>
      </c>
      <c r="L19" s="609">
        <v>3</v>
      </c>
      <c r="M19" s="609">
        <v>2</v>
      </c>
      <c r="N19" s="609">
        <v>10</v>
      </c>
      <c r="O19" s="609">
        <v>1</v>
      </c>
      <c r="P19" s="609">
        <v>9</v>
      </c>
      <c r="Q19" s="609">
        <v>5</v>
      </c>
      <c r="S19" s="581">
        <v>33</v>
      </c>
      <c r="T19" s="327">
        <v>78</v>
      </c>
    </row>
    <row r="20" spans="1:20" s="464" customFormat="1" ht="15" x14ac:dyDescent="0.25">
      <c r="A20" s="463">
        <v>34</v>
      </c>
      <c r="B20" s="609">
        <v>17</v>
      </c>
      <c r="C20" s="609">
        <v>4</v>
      </c>
      <c r="D20" s="609">
        <v>0</v>
      </c>
      <c r="E20" s="609">
        <v>1</v>
      </c>
      <c r="F20" s="609">
        <v>0</v>
      </c>
      <c r="G20" s="609">
        <v>26</v>
      </c>
      <c r="H20" s="609">
        <v>24</v>
      </c>
      <c r="I20" s="609">
        <v>4</v>
      </c>
      <c r="J20" s="609">
        <v>5</v>
      </c>
      <c r="K20" s="609">
        <v>1</v>
      </c>
      <c r="L20" s="609">
        <v>0</v>
      </c>
      <c r="M20" s="609">
        <v>0</v>
      </c>
      <c r="N20" s="609">
        <v>8</v>
      </c>
      <c r="O20" s="609">
        <v>0</v>
      </c>
      <c r="P20" s="609">
        <v>19</v>
      </c>
      <c r="Q20" s="609">
        <v>1</v>
      </c>
      <c r="S20" s="581">
        <v>1</v>
      </c>
      <c r="T20" s="327">
        <v>30</v>
      </c>
    </row>
    <row r="21" spans="1:20" s="464" customFormat="1" ht="15" x14ac:dyDescent="0.25">
      <c r="A21" s="463">
        <v>35</v>
      </c>
      <c r="B21" s="609">
        <v>12</v>
      </c>
      <c r="C21" s="609">
        <v>1</v>
      </c>
      <c r="D21" s="609">
        <v>0</v>
      </c>
      <c r="E21" s="609">
        <v>3</v>
      </c>
      <c r="F21" s="609">
        <v>3</v>
      </c>
      <c r="G21" s="609">
        <v>21</v>
      </c>
      <c r="H21" s="609">
        <v>12</v>
      </c>
      <c r="I21" s="609">
        <v>6</v>
      </c>
      <c r="J21" s="609">
        <v>2</v>
      </c>
      <c r="K21" s="609">
        <v>0</v>
      </c>
      <c r="L21" s="609">
        <v>0</v>
      </c>
      <c r="M21" s="609">
        <v>1</v>
      </c>
      <c r="N21" s="609">
        <v>24</v>
      </c>
      <c r="O21" s="609">
        <v>2</v>
      </c>
      <c r="P21" s="609">
        <v>1</v>
      </c>
      <c r="Q21" s="609">
        <v>5</v>
      </c>
      <c r="S21" s="559">
        <v>133</v>
      </c>
      <c r="T21" s="327">
        <v>100</v>
      </c>
    </row>
    <row r="22" spans="1:20" s="464" customFormat="1" ht="15" x14ac:dyDescent="0.25">
      <c r="A22" s="463">
        <v>37</v>
      </c>
      <c r="B22" s="609">
        <v>7</v>
      </c>
      <c r="C22" s="609">
        <v>3</v>
      </c>
      <c r="D22" s="609">
        <v>0</v>
      </c>
      <c r="E22" s="609">
        <v>6</v>
      </c>
      <c r="F22" s="609">
        <v>0</v>
      </c>
      <c r="G22" s="609">
        <v>26</v>
      </c>
      <c r="H22" s="609">
        <v>6</v>
      </c>
      <c r="I22" s="609">
        <v>7</v>
      </c>
      <c r="J22" s="609">
        <v>1</v>
      </c>
      <c r="K22" s="609">
        <v>0</v>
      </c>
      <c r="L22" s="609">
        <v>0</v>
      </c>
      <c r="M22" s="609">
        <v>1</v>
      </c>
      <c r="N22" s="609">
        <v>8</v>
      </c>
      <c r="O22" s="609">
        <v>0</v>
      </c>
      <c r="P22" s="609">
        <v>8</v>
      </c>
      <c r="Q22" s="609">
        <v>6</v>
      </c>
      <c r="S22" s="559">
        <v>24</v>
      </c>
      <c r="T22" s="327">
        <v>61</v>
      </c>
    </row>
    <row r="23" spans="1:20" ht="15" x14ac:dyDescent="0.25">
      <c r="S23" s="538"/>
      <c r="T23" s="539"/>
    </row>
    <row r="24" spans="1:20" s="464" customFormat="1" ht="15" x14ac:dyDescent="0.25">
      <c r="A24" s="463">
        <v>41</v>
      </c>
      <c r="B24" s="610">
        <v>7</v>
      </c>
      <c r="C24" s="610">
        <v>10</v>
      </c>
      <c r="D24" s="610">
        <v>3</v>
      </c>
      <c r="E24" s="610">
        <v>1</v>
      </c>
      <c r="F24" s="610">
        <v>0</v>
      </c>
      <c r="G24" s="610">
        <v>24</v>
      </c>
      <c r="H24" s="610">
        <v>5</v>
      </c>
      <c r="I24" s="610">
        <v>5</v>
      </c>
      <c r="J24" s="610">
        <v>3</v>
      </c>
      <c r="K24" s="610">
        <v>0</v>
      </c>
      <c r="L24" s="610">
        <v>0</v>
      </c>
      <c r="M24" s="610">
        <v>3</v>
      </c>
      <c r="N24" s="610">
        <v>7</v>
      </c>
      <c r="O24" s="610">
        <v>0</v>
      </c>
      <c r="P24" s="610">
        <v>5</v>
      </c>
      <c r="Q24" s="610">
        <v>3</v>
      </c>
      <c r="S24" s="531"/>
      <c r="T24" s="327">
        <v>11</v>
      </c>
    </row>
    <row r="25" spans="1:20" s="464" customFormat="1" ht="15" x14ac:dyDescent="0.25">
      <c r="A25" s="463">
        <v>42</v>
      </c>
      <c r="B25" s="610">
        <v>16</v>
      </c>
      <c r="C25" s="610">
        <v>2</v>
      </c>
      <c r="D25" s="610">
        <v>3</v>
      </c>
      <c r="E25" s="610">
        <v>1</v>
      </c>
      <c r="F25" s="610">
        <v>0</v>
      </c>
      <c r="G25" s="610">
        <v>24</v>
      </c>
      <c r="H25" s="610">
        <v>9</v>
      </c>
      <c r="I25" s="610">
        <v>13</v>
      </c>
      <c r="J25" s="610">
        <v>4</v>
      </c>
      <c r="K25" s="610">
        <v>2</v>
      </c>
      <c r="L25" s="610">
        <v>0</v>
      </c>
      <c r="M25" s="610">
        <v>0</v>
      </c>
      <c r="N25" s="610">
        <v>22</v>
      </c>
      <c r="O25" s="610">
        <v>1</v>
      </c>
      <c r="P25" s="610">
        <v>39</v>
      </c>
      <c r="Q25" s="610">
        <v>4</v>
      </c>
      <c r="S25" s="531"/>
      <c r="T25" s="327">
        <v>26</v>
      </c>
    </row>
    <row r="26" spans="1:20" s="464" customFormat="1" ht="15" x14ac:dyDescent="0.25">
      <c r="A26" s="463">
        <v>43</v>
      </c>
      <c r="B26" s="610">
        <v>2</v>
      </c>
      <c r="C26" s="610">
        <v>2</v>
      </c>
      <c r="D26" s="610">
        <v>3</v>
      </c>
      <c r="E26" s="610">
        <v>0</v>
      </c>
      <c r="F26" s="610">
        <v>1</v>
      </c>
      <c r="G26" s="610">
        <v>15</v>
      </c>
      <c r="H26" s="610">
        <v>12</v>
      </c>
      <c r="I26" s="610">
        <v>7</v>
      </c>
      <c r="J26" s="610">
        <v>3</v>
      </c>
      <c r="K26" s="610">
        <v>1</v>
      </c>
      <c r="L26" s="610">
        <v>0</v>
      </c>
      <c r="M26" s="610">
        <v>0</v>
      </c>
      <c r="N26" s="610">
        <v>4</v>
      </c>
      <c r="O26" s="610">
        <v>0</v>
      </c>
      <c r="P26" s="610">
        <v>143</v>
      </c>
      <c r="Q26" s="610">
        <v>3</v>
      </c>
      <c r="S26" s="531"/>
      <c r="T26" s="327">
        <v>14</v>
      </c>
    </row>
    <row r="27" spans="1:20" s="464" customFormat="1" ht="15" x14ac:dyDescent="0.25">
      <c r="A27" s="463">
        <v>44</v>
      </c>
      <c r="B27" s="610">
        <v>11</v>
      </c>
      <c r="C27" s="610">
        <v>1</v>
      </c>
      <c r="D27" s="610">
        <v>0</v>
      </c>
      <c r="E27" s="610">
        <v>1</v>
      </c>
      <c r="F27" s="610">
        <v>0</v>
      </c>
      <c r="G27" s="610">
        <v>11</v>
      </c>
      <c r="H27" s="610">
        <v>7</v>
      </c>
      <c r="I27" s="610">
        <v>6</v>
      </c>
      <c r="J27" s="610">
        <v>4</v>
      </c>
      <c r="K27" s="610">
        <v>1</v>
      </c>
      <c r="L27" s="610">
        <v>0</v>
      </c>
      <c r="M27" s="610">
        <v>2</v>
      </c>
      <c r="N27" s="610">
        <v>11</v>
      </c>
      <c r="O27" s="610">
        <v>0</v>
      </c>
      <c r="P27" s="610">
        <v>5</v>
      </c>
      <c r="Q27" s="610">
        <v>1</v>
      </c>
      <c r="S27" s="531"/>
      <c r="T27" s="327">
        <v>28</v>
      </c>
    </row>
    <row r="28" spans="1:20" s="464" customFormat="1" ht="15" x14ac:dyDescent="0.25">
      <c r="A28" s="463">
        <v>45</v>
      </c>
      <c r="B28" s="610">
        <v>1</v>
      </c>
      <c r="C28" s="610">
        <v>0</v>
      </c>
      <c r="D28" s="610">
        <v>0</v>
      </c>
      <c r="E28" s="610">
        <v>0</v>
      </c>
      <c r="F28" s="610">
        <v>1</v>
      </c>
      <c r="G28" s="610">
        <v>3</v>
      </c>
      <c r="H28" s="610">
        <v>0</v>
      </c>
      <c r="I28" s="610">
        <v>0</v>
      </c>
      <c r="J28" s="610">
        <v>0</v>
      </c>
      <c r="K28" s="610">
        <v>0</v>
      </c>
      <c r="L28" s="610">
        <v>0</v>
      </c>
      <c r="M28" s="610">
        <v>0</v>
      </c>
      <c r="N28" s="610">
        <v>3</v>
      </c>
      <c r="O28" s="610">
        <v>0</v>
      </c>
      <c r="P28" s="610">
        <v>0</v>
      </c>
      <c r="Q28" s="610">
        <v>0</v>
      </c>
      <c r="S28" s="531"/>
      <c r="T28" s="327">
        <v>21</v>
      </c>
    </row>
    <row r="29" spans="1:20" s="464" customFormat="1" ht="15" x14ac:dyDescent="0.25">
      <c r="A29" s="463">
        <v>46</v>
      </c>
      <c r="B29" s="610">
        <v>3</v>
      </c>
      <c r="C29" s="610">
        <v>0</v>
      </c>
      <c r="D29" s="610">
        <v>1</v>
      </c>
      <c r="E29" s="610">
        <v>0</v>
      </c>
      <c r="F29" s="610">
        <v>0</v>
      </c>
      <c r="G29" s="610">
        <v>6</v>
      </c>
      <c r="H29" s="610">
        <v>6</v>
      </c>
      <c r="I29" s="610">
        <v>2</v>
      </c>
      <c r="J29" s="610">
        <v>0</v>
      </c>
      <c r="K29" s="610">
        <v>1</v>
      </c>
      <c r="L29" s="610">
        <v>1</v>
      </c>
      <c r="M29" s="610">
        <v>1</v>
      </c>
      <c r="N29" s="610">
        <v>6</v>
      </c>
      <c r="O29" s="610">
        <v>0</v>
      </c>
      <c r="P29" s="610">
        <v>49</v>
      </c>
      <c r="Q29" s="610">
        <v>2</v>
      </c>
      <c r="S29" s="531"/>
      <c r="T29" s="327">
        <v>38</v>
      </c>
    </row>
    <row r="30" spans="1:20" ht="15" x14ac:dyDescent="0.25">
      <c r="S30" s="538"/>
      <c r="T30" s="539"/>
    </row>
    <row r="31" spans="1:20" s="464" customFormat="1" ht="15" x14ac:dyDescent="0.25">
      <c r="A31" s="463">
        <v>51</v>
      </c>
      <c r="B31" s="611">
        <v>13</v>
      </c>
      <c r="C31" s="611">
        <v>10</v>
      </c>
      <c r="D31" s="611">
        <v>0</v>
      </c>
      <c r="E31" s="611">
        <v>13</v>
      </c>
      <c r="F31" s="611">
        <v>1</v>
      </c>
      <c r="G31" s="611">
        <v>25</v>
      </c>
      <c r="H31" s="611">
        <v>13</v>
      </c>
      <c r="I31" s="611">
        <v>7</v>
      </c>
      <c r="J31" s="611">
        <v>2</v>
      </c>
      <c r="K31" s="611">
        <v>1</v>
      </c>
      <c r="L31" s="611">
        <v>0</v>
      </c>
      <c r="M31" s="611">
        <v>0</v>
      </c>
      <c r="N31" s="611">
        <v>35</v>
      </c>
      <c r="O31" s="611">
        <v>0</v>
      </c>
      <c r="P31" s="611">
        <v>60</v>
      </c>
      <c r="Q31" s="611">
        <v>9</v>
      </c>
      <c r="S31" s="559">
        <v>56</v>
      </c>
      <c r="T31" s="327">
        <v>117</v>
      </c>
    </row>
    <row r="32" spans="1:20" s="464" customFormat="1" ht="15" x14ac:dyDescent="0.25">
      <c r="A32" s="463">
        <v>52</v>
      </c>
      <c r="B32" s="611">
        <v>9</v>
      </c>
      <c r="C32" s="611">
        <v>1</v>
      </c>
      <c r="D32" s="611">
        <v>2</v>
      </c>
      <c r="E32" s="611">
        <v>1</v>
      </c>
      <c r="F32" s="611">
        <v>1</v>
      </c>
      <c r="G32" s="611">
        <v>7</v>
      </c>
      <c r="H32" s="611">
        <v>13</v>
      </c>
      <c r="I32" s="611">
        <v>2</v>
      </c>
      <c r="J32" s="611">
        <v>1</v>
      </c>
      <c r="K32" s="611">
        <v>1</v>
      </c>
      <c r="L32" s="611">
        <v>0</v>
      </c>
      <c r="M32" s="611">
        <v>0</v>
      </c>
      <c r="N32" s="611">
        <v>14</v>
      </c>
      <c r="O32" s="611">
        <v>0</v>
      </c>
      <c r="P32" s="611">
        <v>1</v>
      </c>
      <c r="Q32" s="611">
        <v>3</v>
      </c>
      <c r="S32" s="559"/>
      <c r="T32" s="327">
        <v>24</v>
      </c>
    </row>
    <row r="33" spans="1:22" s="464" customFormat="1" ht="15" x14ac:dyDescent="0.25">
      <c r="A33" s="463">
        <v>53</v>
      </c>
      <c r="B33" s="611">
        <v>6</v>
      </c>
      <c r="C33" s="611">
        <v>0</v>
      </c>
      <c r="D33" s="611">
        <v>1</v>
      </c>
      <c r="E33" s="611">
        <v>7</v>
      </c>
      <c r="F33" s="611">
        <v>0</v>
      </c>
      <c r="G33" s="611">
        <v>7</v>
      </c>
      <c r="H33" s="611">
        <v>11</v>
      </c>
      <c r="I33" s="611">
        <v>6</v>
      </c>
      <c r="J33" s="611">
        <v>3</v>
      </c>
      <c r="K33" s="611">
        <v>1</v>
      </c>
      <c r="L33" s="611">
        <v>0</v>
      </c>
      <c r="M33" s="611">
        <v>0</v>
      </c>
      <c r="N33" s="611">
        <v>7</v>
      </c>
      <c r="O33" s="611">
        <v>0</v>
      </c>
      <c r="P33" s="611">
        <v>4</v>
      </c>
      <c r="Q33" s="611">
        <v>2</v>
      </c>
      <c r="S33" s="559">
        <v>6</v>
      </c>
      <c r="T33" s="327">
        <v>76</v>
      </c>
    </row>
    <row r="34" spans="1:22" s="464" customFormat="1" ht="15" x14ac:dyDescent="0.25">
      <c r="A34" s="463">
        <v>54</v>
      </c>
      <c r="B34" s="611">
        <v>13</v>
      </c>
      <c r="C34" s="611">
        <v>1</v>
      </c>
      <c r="D34" s="611">
        <v>1</v>
      </c>
      <c r="E34" s="611">
        <v>2</v>
      </c>
      <c r="F34" s="611">
        <v>0</v>
      </c>
      <c r="G34" s="611">
        <v>17</v>
      </c>
      <c r="H34" s="611">
        <v>10</v>
      </c>
      <c r="I34" s="611">
        <v>2</v>
      </c>
      <c r="J34" s="611">
        <v>3</v>
      </c>
      <c r="K34" s="611">
        <v>1</v>
      </c>
      <c r="L34" s="611">
        <v>0</v>
      </c>
      <c r="M34" s="611">
        <v>0</v>
      </c>
      <c r="N34" s="611">
        <v>16</v>
      </c>
      <c r="O34" s="611">
        <v>0</v>
      </c>
      <c r="P34" s="611">
        <v>9</v>
      </c>
      <c r="Q34" s="611">
        <v>4</v>
      </c>
      <c r="S34" s="582"/>
      <c r="T34" s="327">
        <v>39</v>
      </c>
    </row>
    <row r="35" spans="1:22" s="464" customFormat="1" ht="15" x14ac:dyDescent="0.25">
      <c r="A35" s="463">
        <v>55</v>
      </c>
      <c r="B35" s="611">
        <v>6</v>
      </c>
      <c r="C35" s="611">
        <v>2</v>
      </c>
      <c r="D35" s="611">
        <v>1</v>
      </c>
      <c r="E35" s="611">
        <v>0</v>
      </c>
      <c r="F35" s="611">
        <v>0</v>
      </c>
      <c r="G35" s="611">
        <v>19</v>
      </c>
      <c r="H35" s="611">
        <v>16</v>
      </c>
      <c r="I35" s="611">
        <v>7</v>
      </c>
      <c r="J35" s="611">
        <v>1</v>
      </c>
      <c r="K35" s="611">
        <v>9</v>
      </c>
      <c r="L35" s="611">
        <v>3</v>
      </c>
      <c r="M35" s="611">
        <v>1</v>
      </c>
      <c r="N35" s="611">
        <v>13</v>
      </c>
      <c r="O35" s="611">
        <v>0</v>
      </c>
      <c r="P35" s="611">
        <v>28</v>
      </c>
      <c r="Q35" s="611">
        <v>1</v>
      </c>
      <c r="S35" s="327"/>
      <c r="T35" s="327">
        <v>23</v>
      </c>
    </row>
    <row r="36" spans="1:22" s="464" customFormat="1" ht="15" x14ac:dyDescent="0.25">
      <c r="A36" s="463">
        <v>56</v>
      </c>
      <c r="B36" s="611">
        <v>1</v>
      </c>
      <c r="C36" s="611">
        <v>0</v>
      </c>
      <c r="D36" s="611">
        <v>0</v>
      </c>
      <c r="E36" s="611">
        <v>0</v>
      </c>
      <c r="F36" s="611">
        <v>0</v>
      </c>
      <c r="G36" s="611">
        <v>3</v>
      </c>
      <c r="H36" s="611">
        <v>1</v>
      </c>
      <c r="I36" s="611">
        <v>1</v>
      </c>
      <c r="J36" s="611">
        <v>0</v>
      </c>
      <c r="K36" s="611">
        <v>1</v>
      </c>
      <c r="L36" s="611">
        <v>0</v>
      </c>
      <c r="M36" s="611">
        <v>0</v>
      </c>
      <c r="N36" s="611">
        <v>4</v>
      </c>
      <c r="O36" s="611">
        <v>0</v>
      </c>
      <c r="P36" s="611">
        <v>0</v>
      </c>
      <c r="Q36" s="611">
        <v>0</v>
      </c>
      <c r="S36" s="327"/>
      <c r="T36" s="327">
        <v>18</v>
      </c>
    </row>
    <row r="37" spans="1:22" x14ac:dyDescent="0.2">
      <c r="S37" s="539"/>
      <c r="T37" s="539"/>
    </row>
    <row r="38" spans="1:22" s="464" customFormat="1" ht="15" x14ac:dyDescent="0.25">
      <c r="A38" s="463">
        <v>61</v>
      </c>
      <c r="B38" s="612">
        <v>3</v>
      </c>
      <c r="C38" s="612">
        <v>3</v>
      </c>
      <c r="D38" s="612">
        <v>1</v>
      </c>
      <c r="E38" s="612">
        <v>2</v>
      </c>
      <c r="F38" s="612">
        <v>0</v>
      </c>
      <c r="G38" s="612">
        <v>22</v>
      </c>
      <c r="H38" s="612">
        <v>13</v>
      </c>
      <c r="I38" s="612">
        <v>7</v>
      </c>
      <c r="J38" s="612">
        <v>3</v>
      </c>
      <c r="K38" s="612">
        <v>2</v>
      </c>
      <c r="L38" s="612">
        <v>0</v>
      </c>
      <c r="M38" s="612">
        <v>0</v>
      </c>
      <c r="N38" s="612">
        <v>16</v>
      </c>
      <c r="O38" s="612">
        <v>0</v>
      </c>
      <c r="P38" s="612">
        <v>33</v>
      </c>
      <c r="Q38" s="612">
        <v>0</v>
      </c>
      <c r="S38" s="327"/>
      <c r="T38" s="327">
        <v>20</v>
      </c>
    </row>
    <row r="39" spans="1:22" s="464" customFormat="1" ht="15" x14ac:dyDescent="0.25">
      <c r="A39" s="463">
        <v>62</v>
      </c>
      <c r="B39" s="612">
        <v>10</v>
      </c>
      <c r="C39" s="612">
        <v>6</v>
      </c>
      <c r="D39" s="612">
        <v>0</v>
      </c>
      <c r="E39" s="612">
        <v>4</v>
      </c>
      <c r="F39" s="612">
        <v>2</v>
      </c>
      <c r="G39" s="612">
        <v>17</v>
      </c>
      <c r="H39" s="612">
        <v>14</v>
      </c>
      <c r="I39" s="612">
        <v>7</v>
      </c>
      <c r="J39" s="612">
        <v>4</v>
      </c>
      <c r="K39" s="612">
        <v>0</v>
      </c>
      <c r="L39" s="612">
        <v>0</v>
      </c>
      <c r="M39" s="612">
        <v>2</v>
      </c>
      <c r="N39" s="612">
        <v>37</v>
      </c>
      <c r="O39" s="612">
        <v>0</v>
      </c>
      <c r="P39" s="612">
        <v>8</v>
      </c>
      <c r="Q39" s="612">
        <v>1</v>
      </c>
      <c r="S39" s="327"/>
      <c r="T39" s="327">
        <v>49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47"/>
  <sheetViews>
    <sheetView topLeftCell="A10" zoomScaleNormal="100" workbookViewId="0">
      <selection activeCell="B38" sqref="B38:Q39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ht="15" x14ac:dyDescent="0.25">
      <c r="A3" s="463">
        <v>11</v>
      </c>
      <c r="B3" s="601">
        <v>10</v>
      </c>
      <c r="C3" s="601">
        <v>5</v>
      </c>
      <c r="D3" s="601">
        <v>1</v>
      </c>
      <c r="E3" s="601">
        <v>1</v>
      </c>
      <c r="F3" s="601">
        <v>0</v>
      </c>
      <c r="G3" s="601">
        <v>10</v>
      </c>
      <c r="H3" s="601">
        <v>19</v>
      </c>
      <c r="I3" s="601">
        <v>8</v>
      </c>
      <c r="J3" s="601">
        <v>0</v>
      </c>
      <c r="K3" s="601">
        <v>2</v>
      </c>
      <c r="L3" s="601">
        <v>0</v>
      </c>
      <c r="M3" s="601">
        <v>0</v>
      </c>
      <c r="N3" s="601">
        <v>8</v>
      </c>
      <c r="O3" s="601">
        <v>0</v>
      </c>
      <c r="P3" s="601">
        <v>1</v>
      </c>
      <c r="Q3" s="601">
        <v>1</v>
      </c>
      <c r="S3" s="327"/>
      <c r="T3" s="327">
        <v>13</v>
      </c>
    </row>
    <row r="4" spans="1:20" s="464" customFormat="1" ht="15" x14ac:dyDescent="0.25">
      <c r="A4" s="463">
        <v>12</v>
      </c>
      <c r="B4" s="601">
        <v>15</v>
      </c>
      <c r="C4" s="601">
        <v>3</v>
      </c>
      <c r="D4" s="601">
        <v>1</v>
      </c>
      <c r="E4" s="601">
        <v>0</v>
      </c>
      <c r="F4" s="601">
        <v>0</v>
      </c>
      <c r="G4" s="601">
        <v>29</v>
      </c>
      <c r="H4" s="601">
        <v>6</v>
      </c>
      <c r="I4" s="601">
        <v>11</v>
      </c>
      <c r="J4" s="601">
        <v>2</v>
      </c>
      <c r="K4" s="601">
        <v>4</v>
      </c>
      <c r="L4" s="601">
        <v>0</v>
      </c>
      <c r="M4" s="601">
        <v>1</v>
      </c>
      <c r="N4" s="601">
        <v>22</v>
      </c>
      <c r="O4" s="601">
        <v>0</v>
      </c>
      <c r="P4" s="601">
        <v>8</v>
      </c>
      <c r="Q4" s="601">
        <v>2</v>
      </c>
      <c r="S4" s="327"/>
      <c r="T4" s="327">
        <v>27</v>
      </c>
    </row>
    <row r="5" spans="1:20" s="464" customFormat="1" ht="15" x14ac:dyDescent="0.25">
      <c r="A5" s="463">
        <v>13</v>
      </c>
      <c r="B5" s="601">
        <v>16</v>
      </c>
      <c r="C5" s="601">
        <v>8</v>
      </c>
      <c r="D5" s="601">
        <v>0</v>
      </c>
      <c r="E5" s="601">
        <v>4</v>
      </c>
      <c r="F5" s="601">
        <v>0</v>
      </c>
      <c r="G5" s="601">
        <v>12</v>
      </c>
      <c r="H5" s="601">
        <v>10</v>
      </c>
      <c r="I5" s="601">
        <v>8</v>
      </c>
      <c r="J5" s="601">
        <v>3</v>
      </c>
      <c r="K5" s="601">
        <v>1</v>
      </c>
      <c r="L5" s="601">
        <v>2</v>
      </c>
      <c r="M5" s="601">
        <v>0</v>
      </c>
      <c r="N5" s="601">
        <v>13</v>
      </c>
      <c r="O5" s="601">
        <v>0</v>
      </c>
      <c r="P5" s="601">
        <v>4</v>
      </c>
      <c r="Q5" s="601">
        <v>0</v>
      </c>
      <c r="S5" s="327"/>
      <c r="T5" s="327">
        <v>29</v>
      </c>
    </row>
    <row r="6" spans="1:20" s="464" customFormat="1" ht="15" x14ac:dyDescent="0.25">
      <c r="A6" s="463">
        <v>14</v>
      </c>
      <c r="B6" s="601">
        <v>10</v>
      </c>
      <c r="C6" s="601">
        <v>1</v>
      </c>
      <c r="D6" s="601">
        <v>0</v>
      </c>
      <c r="E6" s="601">
        <v>0</v>
      </c>
      <c r="F6" s="601">
        <v>0</v>
      </c>
      <c r="G6" s="601">
        <v>20</v>
      </c>
      <c r="H6" s="601">
        <v>8</v>
      </c>
      <c r="I6" s="601">
        <v>7</v>
      </c>
      <c r="J6" s="601">
        <v>1</v>
      </c>
      <c r="K6" s="601">
        <v>5</v>
      </c>
      <c r="L6" s="601">
        <v>0</v>
      </c>
      <c r="M6" s="601">
        <v>0</v>
      </c>
      <c r="N6" s="601">
        <v>11</v>
      </c>
      <c r="O6" s="601">
        <v>0</v>
      </c>
      <c r="P6" s="601">
        <v>1</v>
      </c>
      <c r="Q6" s="601">
        <v>0</v>
      </c>
      <c r="S6" s="327">
        <v>1</v>
      </c>
      <c r="T6" s="327">
        <v>33</v>
      </c>
    </row>
    <row r="7" spans="1:20" s="464" customFormat="1" ht="15" x14ac:dyDescent="0.25">
      <c r="A7" s="463">
        <v>15</v>
      </c>
      <c r="B7" s="601">
        <v>7</v>
      </c>
      <c r="C7" s="601">
        <v>8</v>
      </c>
      <c r="D7" s="601">
        <v>0</v>
      </c>
      <c r="E7" s="601">
        <v>4</v>
      </c>
      <c r="F7" s="601">
        <v>0</v>
      </c>
      <c r="G7" s="601">
        <v>5</v>
      </c>
      <c r="H7" s="601">
        <v>2</v>
      </c>
      <c r="I7" s="601">
        <v>1</v>
      </c>
      <c r="J7" s="601">
        <v>2</v>
      </c>
      <c r="K7" s="601">
        <v>0</v>
      </c>
      <c r="L7" s="601">
        <v>0</v>
      </c>
      <c r="M7" s="601">
        <v>1</v>
      </c>
      <c r="N7" s="601">
        <v>12</v>
      </c>
      <c r="O7" s="601">
        <v>1</v>
      </c>
      <c r="P7" s="601">
        <v>1</v>
      </c>
      <c r="Q7" s="601">
        <v>2</v>
      </c>
      <c r="S7" s="327"/>
      <c r="T7" s="327">
        <v>31</v>
      </c>
    </row>
    <row r="8" spans="1:20" s="464" customFormat="1" ht="15" x14ac:dyDescent="0.25">
      <c r="A8" s="463">
        <v>16</v>
      </c>
      <c r="B8" s="601">
        <v>8</v>
      </c>
      <c r="C8" s="601">
        <v>0</v>
      </c>
      <c r="D8" s="601">
        <v>2</v>
      </c>
      <c r="E8" s="601">
        <v>0</v>
      </c>
      <c r="F8" s="601">
        <v>0</v>
      </c>
      <c r="G8" s="601">
        <v>17</v>
      </c>
      <c r="H8" s="601">
        <v>12</v>
      </c>
      <c r="I8" s="601">
        <v>10</v>
      </c>
      <c r="J8" s="601">
        <v>2</v>
      </c>
      <c r="K8" s="601">
        <v>2</v>
      </c>
      <c r="L8" s="601">
        <v>0</v>
      </c>
      <c r="M8" s="601">
        <v>0</v>
      </c>
      <c r="N8" s="601">
        <v>15</v>
      </c>
      <c r="O8" s="601">
        <v>1</v>
      </c>
      <c r="P8" s="601">
        <v>54</v>
      </c>
      <c r="Q8" s="601">
        <v>1</v>
      </c>
      <c r="S8" s="327"/>
      <c r="T8" s="327">
        <v>15</v>
      </c>
    </row>
    <row r="9" spans="1:20" x14ac:dyDescent="0.2">
      <c r="S9" s="539"/>
      <c r="T9" s="539"/>
    </row>
    <row r="10" spans="1:20" s="464" customFormat="1" ht="15" x14ac:dyDescent="0.25">
      <c r="A10" s="463">
        <v>21</v>
      </c>
      <c r="B10" s="602">
        <v>9</v>
      </c>
      <c r="C10" s="602">
        <v>1</v>
      </c>
      <c r="D10" s="602">
        <v>0</v>
      </c>
      <c r="E10" s="602">
        <v>4</v>
      </c>
      <c r="F10" s="602">
        <v>0</v>
      </c>
      <c r="G10" s="602">
        <v>18</v>
      </c>
      <c r="H10" s="602">
        <v>11</v>
      </c>
      <c r="I10" s="602">
        <v>4</v>
      </c>
      <c r="J10" s="602">
        <v>2</v>
      </c>
      <c r="K10" s="602">
        <v>0</v>
      </c>
      <c r="L10" s="602">
        <v>0</v>
      </c>
      <c r="M10" s="602">
        <v>1</v>
      </c>
      <c r="N10" s="602">
        <v>12</v>
      </c>
      <c r="O10" s="602">
        <v>1</v>
      </c>
      <c r="P10" s="602">
        <v>8</v>
      </c>
      <c r="Q10" s="602">
        <v>3</v>
      </c>
      <c r="S10" s="327"/>
      <c r="T10" s="327">
        <v>23</v>
      </c>
    </row>
    <row r="11" spans="1:20" s="464" customFormat="1" ht="15" x14ac:dyDescent="0.25">
      <c r="A11" s="463">
        <v>22</v>
      </c>
      <c r="B11" s="602">
        <v>5</v>
      </c>
      <c r="C11" s="602">
        <v>4</v>
      </c>
      <c r="D11" s="602">
        <v>0</v>
      </c>
      <c r="E11" s="602">
        <v>0</v>
      </c>
      <c r="F11" s="602">
        <v>0</v>
      </c>
      <c r="G11" s="602">
        <v>18</v>
      </c>
      <c r="H11" s="602">
        <v>21</v>
      </c>
      <c r="I11" s="602">
        <v>14</v>
      </c>
      <c r="J11" s="602">
        <v>0</v>
      </c>
      <c r="K11" s="602">
        <v>0</v>
      </c>
      <c r="L11" s="602">
        <v>9</v>
      </c>
      <c r="M11" s="602">
        <v>4</v>
      </c>
      <c r="N11" s="602">
        <v>0</v>
      </c>
      <c r="O11" s="602">
        <v>0</v>
      </c>
      <c r="P11" s="602">
        <v>5</v>
      </c>
      <c r="Q11" s="602">
        <v>6</v>
      </c>
      <c r="S11" s="559">
        <v>1</v>
      </c>
      <c r="T11" s="327">
        <v>9</v>
      </c>
    </row>
    <row r="12" spans="1:20" s="464" customFormat="1" ht="15" x14ac:dyDescent="0.25">
      <c r="A12" s="463">
        <v>23</v>
      </c>
      <c r="B12" s="602">
        <v>6</v>
      </c>
      <c r="C12" s="602">
        <v>0</v>
      </c>
      <c r="D12" s="602">
        <v>0</v>
      </c>
      <c r="E12" s="602">
        <v>1</v>
      </c>
      <c r="F12" s="602">
        <v>0</v>
      </c>
      <c r="G12" s="602">
        <v>14</v>
      </c>
      <c r="H12" s="602">
        <v>12</v>
      </c>
      <c r="I12" s="602">
        <v>1</v>
      </c>
      <c r="J12" s="602">
        <v>1</v>
      </c>
      <c r="K12" s="602">
        <v>0</v>
      </c>
      <c r="L12" s="602">
        <v>2</v>
      </c>
      <c r="M12" s="602">
        <v>0</v>
      </c>
      <c r="N12" s="602">
        <v>3</v>
      </c>
      <c r="O12" s="602">
        <v>0</v>
      </c>
      <c r="P12" s="602">
        <v>7</v>
      </c>
      <c r="Q12" s="602">
        <v>5</v>
      </c>
      <c r="S12" s="559">
        <v>13</v>
      </c>
      <c r="T12" s="327">
        <v>15</v>
      </c>
    </row>
    <row r="13" spans="1:20" s="464" customFormat="1" ht="15" x14ac:dyDescent="0.25">
      <c r="A13" s="463">
        <v>24</v>
      </c>
      <c r="B13" s="602">
        <v>9</v>
      </c>
      <c r="C13" s="602">
        <v>1</v>
      </c>
      <c r="D13" s="602">
        <v>1</v>
      </c>
      <c r="E13" s="602">
        <v>1</v>
      </c>
      <c r="F13" s="602">
        <v>0</v>
      </c>
      <c r="G13" s="602">
        <v>32</v>
      </c>
      <c r="H13" s="602">
        <v>13</v>
      </c>
      <c r="I13" s="602">
        <v>23</v>
      </c>
      <c r="J13" s="602">
        <v>0</v>
      </c>
      <c r="K13" s="602">
        <v>4</v>
      </c>
      <c r="L13" s="602">
        <v>4</v>
      </c>
      <c r="M13" s="602">
        <v>1</v>
      </c>
      <c r="N13" s="602">
        <v>4</v>
      </c>
      <c r="O13" s="602">
        <v>1</v>
      </c>
      <c r="P13" s="602">
        <v>39</v>
      </c>
      <c r="Q13" s="602">
        <v>6</v>
      </c>
      <c r="S13" s="559">
        <v>8</v>
      </c>
      <c r="T13" s="327">
        <v>20</v>
      </c>
    </row>
    <row r="14" spans="1:20" s="464" customFormat="1" ht="15" x14ac:dyDescent="0.25">
      <c r="A14" s="463">
        <v>25</v>
      </c>
      <c r="B14" s="602">
        <v>9</v>
      </c>
      <c r="C14" s="602">
        <v>1</v>
      </c>
      <c r="D14" s="602">
        <v>2</v>
      </c>
      <c r="E14" s="602">
        <v>7</v>
      </c>
      <c r="F14" s="602">
        <v>1</v>
      </c>
      <c r="G14" s="602">
        <v>18</v>
      </c>
      <c r="H14" s="602">
        <v>11</v>
      </c>
      <c r="I14" s="602">
        <v>7</v>
      </c>
      <c r="J14" s="602">
        <v>1</v>
      </c>
      <c r="K14" s="602">
        <v>1</v>
      </c>
      <c r="L14" s="602">
        <v>0</v>
      </c>
      <c r="M14" s="602">
        <v>0</v>
      </c>
      <c r="N14" s="602">
        <v>3</v>
      </c>
      <c r="O14" s="602">
        <v>0</v>
      </c>
      <c r="P14" s="602">
        <v>7</v>
      </c>
      <c r="Q14" s="602">
        <v>3</v>
      </c>
      <c r="S14" s="559">
        <v>17</v>
      </c>
      <c r="T14" s="327">
        <v>22</v>
      </c>
    </row>
    <row r="15" spans="1:20" s="464" customFormat="1" ht="15" x14ac:dyDescent="0.25">
      <c r="A15" s="463">
        <v>26</v>
      </c>
      <c r="B15" s="602">
        <v>11</v>
      </c>
      <c r="C15" s="602">
        <v>0</v>
      </c>
      <c r="D15" s="602">
        <v>0</v>
      </c>
      <c r="E15" s="602">
        <v>1</v>
      </c>
      <c r="F15" s="602">
        <v>0</v>
      </c>
      <c r="G15" s="602">
        <v>11</v>
      </c>
      <c r="H15" s="602">
        <v>7</v>
      </c>
      <c r="I15" s="602">
        <v>8</v>
      </c>
      <c r="J15" s="602">
        <v>3</v>
      </c>
      <c r="K15" s="602">
        <v>0</v>
      </c>
      <c r="L15" s="602">
        <v>1</v>
      </c>
      <c r="M15" s="602">
        <v>0</v>
      </c>
      <c r="N15" s="602">
        <v>12</v>
      </c>
      <c r="O15" s="602">
        <v>1</v>
      </c>
      <c r="P15" s="602">
        <v>5</v>
      </c>
      <c r="Q15" s="602">
        <v>5</v>
      </c>
      <c r="S15" s="559">
        <v>17</v>
      </c>
      <c r="T15" s="327">
        <v>30</v>
      </c>
    </row>
    <row r="16" spans="1:20" x14ac:dyDescent="0.2">
      <c r="S16" s="539"/>
      <c r="T16" s="539"/>
    </row>
    <row r="17" spans="1:20" s="464" customFormat="1" ht="15" x14ac:dyDescent="0.25">
      <c r="A17" s="463">
        <v>31</v>
      </c>
      <c r="B17" s="603">
        <v>10</v>
      </c>
      <c r="C17" s="603">
        <v>3</v>
      </c>
      <c r="D17" s="603">
        <v>0</v>
      </c>
      <c r="E17" s="603">
        <v>10</v>
      </c>
      <c r="F17" s="603">
        <v>0</v>
      </c>
      <c r="G17" s="603">
        <v>19</v>
      </c>
      <c r="H17" s="603">
        <v>9</v>
      </c>
      <c r="I17" s="603">
        <v>4</v>
      </c>
      <c r="J17" s="603">
        <v>4</v>
      </c>
      <c r="K17" s="603">
        <v>1</v>
      </c>
      <c r="L17" s="603">
        <v>1</v>
      </c>
      <c r="M17" s="603">
        <v>0</v>
      </c>
      <c r="N17" s="603">
        <v>19</v>
      </c>
      <c r="O17" s="603">
        <v>1</v>
      </c>
      <c r="P17" s="603">
        <v>0</v>
      </c>
      <c r="Q17" s="603">
        <v>7</v>
      </c>
      <c r="S17" s="559">
        <v>52</v>
      </c>
      <c r="T17" s="327">
        <v>60</v>
      </c>
    </row>
    <row r="18" spans="1:20" s="464" customFormat="1" ht="15" x14ac:dyDescent="0.25">
      <c r="A18" s="463">
        <v>32</v>
      </c>
      <c r="B18" s="603">
        <v>13</v>
      </c>
      <c r="C18" s="603">
        <v>1</v>
      </c>
      <c r="D18" s="603">
        <v>0</v>
      </c>
      <c r="E18" s="603">
        <v>3</v>
      </c>
      <c r="F18" s="603">
        <v>1</v>
      </c>
      <c r="G18" s="603">
        <v>12</v>
      </c>
      <c r="H18" s="603">
        <v>10</v>
      </c>
      <c r="I18" s="603">
        <v>4</v>
      </c>
      <c r="J18" s="603">
        <v>2</v>
      </c>
      <c r="K18" s="603">
        <v>3</v>
      </c>
      <c r="L18" s="603">
        <v>1</v>
      </c>
      <c r="M18" s="603">
        <v>1</v>
      </c>
      <c r="N18" s="603">
        <v>16</v>
      </c>
      <c r="O18" s="603">
        <v>0</v>
      </c>
      <c r="P18" s="603">
        <v>8</v>
      </c>
      <c r="Q18" s="603">
        <v>0</v>
      </c>
      <c r="S18" s="327"/>
      <c r="T18" s="327">
        <v>34</v>
      </c>
    </row>
    <row r="19" spans="1:20" s="464" customFormat="1" ht="15" x14ac:dyDescent="0.25">
      <c r="A19" s="463">
        <v>33</v>
      </c>
      <c r="B19" s="603">
        <v>17</v>
      </c>
      <c r="C19" s="603">
        <v>13</v>
      </c>
      <c r="D19" s="603">
        <v>0</v>
      </c>
      <c r="E19" s="603">
        <v>6</v>
      </c>
      <c r="F19" s="603">
        <v>1</v>
      </c>
      <c r="G19" s="603">
        <v>29</v>
      </c>
      <c r="H19" s="603">
        <v>8</v>
      </c>
      <c r="I19" s="603">
        <v>16</v>
      </c>
      <c r="J19" s="603">
        <v>1</v>
      </c>
      <c r="K19" s="603">
        <v>4</v>
      </c>
      <c r="L19" s="603">
        <v>2</v>
      </c>
      <c r="M19" s="603">
        <v>1</v>
      </c>
      <c r="N19" s="603">
        <v>10</v>
      </c>
      <c r="O19" s="603">
        <v>1</v>
      </c>
      <c r="P19" s="603">
        <v>8</v>
      </c>
      <c r="Q19" s="603">
        <v>6</v>
      </c>
      <c r="S19" s="559">
        <v>14</v>
      </c>
      <c r="T19" s="327">
        <v>51</v>
      </c>
    </row>
    <row r="20" spans="1:20" s="464" customFormat="1" ht="15" x14ac:dyDescent="0.25">
      <c r="A20" s="463">
        <v>34</v>
      </c>
      <c r="B20" s="603">
        <v>11</v>
      </c>
      <c r="C20" s="603">
        <v>3</v>
      </c>
      <c r="D20" s="603">
        <v>1</v>
      </c>
      <c r="E20" s="603">
        <v>4</v>
      </c>
      <c r="F20" s="603">
        <v>0</v>
      </c>
      <c r="G20" s="603">
        <v>29</v>
      </c>
      <c r="H20" s="603">
        <v>10</v>
      </c>
      <c r="I20" s="603">
        <v>14</v>
      </c>
      <c r="J20" s="603">
        <v>0</v>
      </c>
      <c r="K20" s="603">
        <v>2</v>
      </c>
      <c r="L20" s="603">
        <v>0</v>
      </c>
      <c r="M20" s="603">
        <v>0</v>
      </c>
      <c r="N20" s="603">
        <v>10</v>
      </c>
      <c r="O20" s="603">
        <v>0</v>
      </c>
      <c r="P20" s="603">
        <v>8</v>
      </c>
      <c r="Q20" s="603">
        <v>4</v>
      </c>
      <c r="S20" s="559">
        <v>1</v>
      </c>
      <c r="T20" s="327">
        <v>39</v>
      </c>
    </row>
    <row r="21" spans="1:20" s="464" customFormat="1" ht="15" x14ac:dyDescent="0.25">
      <c r="A21" s="463">
        <v>35</v>
      </c>
      <c r="B21" s="603">
        <v>18</v>
      </c>
      <c r="C21" s="603">
        <v>4</v>
      </c>
      <c r="D21" s="603">
        <v>0</v>
      </c>
      <c r="E21" s="603">
        <v>6</v>
      </c>
      <c r="F21" s="603">
        <v>3</v>
      </c>
      <c r="G21" s="603">
        <v>21</v>
      </c>
      <c r="H21" s="603">
        <v>13</v>
      </c>
      <c r="I21" s="603">
        <v>7</v>
      </c>
      <c r="J21" s="603">
        <v>3</v>
      </c>
      <c r="K21" s="603">
        <v>2</v>
      </c>
      <c r="L21" s="603">
        <v>0</v>
      </c>
      <c r="M21" s="603">
        <v>0</v>
      </c>
      <c r="N21" s="603">
        <v>37</v>
      </c>
      <c r="O21" s="603">
        <v>0</v>
      </c>
      <c r="P21" s="603">
        <v>1</v>
      </c>
      <c r="Q21" s="603">
        <v>6</v>
      </c>
      <c r="S21" s="559">
        <v>38</v>
      </c>
      <c r="T21" s="327">
        <v>58</v>
      </c>
    </row>
    <row r="22" spans="1:20" s="464" customFormat="1" ht="15" x14ac:dyDescent="0.25">
      <c r="A22" s="463">
        <v>37</v>
      </c>
      <c r="B22" s="603">
        <v>9</v>
      </c>
      <c r="C22" s="603">
        <v>1</v>
      </c>
      <c r="D22" s="603">
        <v>1</v>
      </c>
      <c r="E22" s="603">
        <v>2</v>
      </c>
      <c r="F22" s="603">
        <v>0</v>
      </c>
      <c r="G22" s="603">
        <v>49</v>
      </c>
      <c r="H22" s="603">
        <v>14</v>
      </c>
      <c r="I22" s="603">
        <v>11</v>
      </c>
      <c r="J22" s="603">
        <v>2</v>
      </c>
      <c r="K22" s="603">
        <v>5</v>
      </c>
      <c r="L22" s="603">
        <v>1</v>
      </c>
      <c r="M22" s="603">
        <v>0</v>
      </c>
      <c r="N22" s="603">
        <v>10</v>
      </c>
      <c r="O22" s="603">
        <v>0</v>
      </c>
      <c r="P22" s="603">
        <v>5</v>
      </c>
      <c r="Q22" s="603">
        <v>3</v>
      </c>
      <c r="S22" s="559">
        <v>11</v>
      </c>
      <c r="T22" s="327">
        <v>54</v>
      </c>
    </row>
    <row r="23" spans="1:20" x14ac:dyDescent="0.2">
      <c r="S23" s="539"/>
      <c r="T23" s="539"/>
    </row>
    <row r="24" spans="1:20" s="464" customFormat="1" ht="15" x14ac:dyDescent="0.25">
      <c r="A24" s="463">
        <v>41</v>
      </c>
      <c r="B24" s="604">
        <v>12</v>
      </c>
      <c r="C24" s="604">
        <v>1</v>
      </c>
      <c r="D24" s="604">
        <v>1</v>
      </c>
      <c r="E24" s="604">
        <v>0</v>
      </c>
      <c r="F24" s="604">
        <v>0</v>
      </c>
      <c r="G24" s="604">
        <v>23</v>
      </c>
      <c r="H24" s="604">
        <v>20</v>
      </c>
      <c r="I24" s="604">
        <v>14</v>
      </c>
      <c r="J24" s="604">
        <v>0</v>
      </c>
      <c r="K24" s="604">
        <v>2</v>
      </c>
      <c r="L24" s="604">
        <v>0</v>
      </c>
      <c r="M24" s="604">
        <v>0</v>
      </c>
      <c r="N24" s="604">
        <v>5</v>
      </c>
      <c r="O24" s="604">
        <v>1</v>
      </c>
      <c r="P24" s="604">
        <v>4</v>
      </c>
      <c r="Q24" s="604">
        <v>0</v>
      </c>
      <c r="S24" s="327"/>
      <c r="T24" s="327">
        <v>6</v>
      </c>
    </row>
    <row r="25" spans="1:20" s="464" customFormat="1" ht="15" x14ac:dyDescent="0.25">
      <c r="A25" s="463">
        <v>42</v>
      </c>
      <c r="B25" s="604">
        <v>24</v>
      </c>
      <c r="C25" s="604">
        <v>6</v>
      </c>
      <c r="D25" s="604">
        <v>0</v>
      </c>
      <c r="E25" s="604">
        <v>0</v>
      </c>
      <c r="F25" s="604">
        <v>0</v>
      </c>
      <c r="G25" s="604">
        <v>28</v>
      </c>
      <c r="H25" s="604">
        <v>13</v>
      </c>
      <c r="I25" s="604">
        <v>9</v>
      </c>
      <c r="J25" s="604">
        <v>4</v>
      </c>
      <c r="K25" s="604">
        <v>2</v>
      </c>
      <c r="L25" s="604">
        <v>3</v>
      </c>
      <c r="M25" s="604">
        <v>0</v>
      </c>
      <c r="N25" s="604">
        <v>21</v>
      </c>
      <c r="O25" s="604">
        <v>2</v>
      </c>
      <c r="P25" s="604">
        <v>61</v>
      </c>
      <c r="Q25" s="604">
        <v>3</v>
      </c>
      <c r="S25" s="327"/>
      <c r="T25" s="327">
        <v>28</v>
      </c>
    </row>
    <row r="26" spans="1:20" s="464" customFormat="1" ht="15" x14ac:dyDescent="0.25">
      <c r="A26" s="463">
        <v>43</v>
      </c>
      <c r="B26" s="604">
        <v>7</v>
      </c>
      <c r="C26" s="604">
        <v>5</v>
      </c>
      <c r="D26" s="604">
        <v>4</v>
      </c>
      <c r="E26" s="604">
        <v>1</v>
      </c>
      <c r="F26" s="604">
        <v>0</v>
      </c>
      <c r="G26" s="604">
        <v>6</v>
      </c>
      <c r="H26" s="604">
        <v>12</v>
      </c>
      <c r="I26" s="604">
        <v>3</v>
      </c>
      <c r="J26" s="604">
        <v>1</v>
      </c>
      <c r="K26" s="604">
        <v>1</v>
      </c>
      <c r="L26" s="604">
        <v>1</v>
      </c>
      <c r="M26" s="604">
        <v>0</v>
      </c>
      <c r="N26" s="604">
        <v>7</v>
      </c>
      <c r="O26" s="604">
        <v>0</v>
      </c>
      <c r="P26" s="604">
        <v>120</v>
      </c>
      <c r="Q26" s="604">
        <v>6</v>
      </c>
      <c r="S26" s="327"/>
      <c r="T26" s="327">
        <v>14</v>
      </c>
    </row>
    <row r="27" spans="1:20" s="464" customFormat="1" ht="15" x14ac:dyDescent="0.25">
      <c r="A27" s="463">
        <v>44</v>
      </c>
      <c r="B27" s="604">
        <v>12</v>
      </c>
      <c r="C27" s="604">
        <v>0</v>
      </c>
      <c r="D27" s="604">
        <v>0</v>
      </c>
      <c r="E27" s="604">
        <v>1</v>
      </c>
      <c r="F27" s="604">
        <v>1</v>
      </c>
      <c r="G27" s="604">
        <v>29</v>
      </c>
      <c r="H27" s="604">
        <v>11</v>
      </c>
      <c r="I27" s="604">
        <v>3</v>
      </c>
      <c r="J27" s="604">
        <v>2</v>
      </c>
      <c r="K27" s="604">
        <v>4</v>
      </c>
      <c r="L27" s="604">
        <v>1</v>
      </c>
      <c r="M27" s="604">
        <v>1</v>
      </c>
      <c r="N27" s="604">
        <v>28</v>
      </c>
      <c r="O27" s="604">
        <v>0</v>
      </c>
      <c r="P27" s="604">
        <v>2</v>
      </c>
      <c r="Q27" s="604">
        <v>1</v>
      </c>
      <c r="S27" s="327"/>
      <c r="T27" s="327">
        <v>25</v>
      </c>
    </row>
    <row r="28" spans="1:20" s="464" customFormat="1" ht="15" x14ac:dyDescent="0.25">
      <c r="A28" s="463">
        <v>45</v>
      </c>
      <c r="B28" s="604">
        <v>0</v>
      </c>
      <c r="C28" s="604">
        <v>1</v>
      </c>
      <c r="D28" s="604">
        <v>0</v>
      </c>
      <c r="E28" s="604">
        <v>0</v>
      </c>
      <c r="F28" s="604">
        <v>0</v>
      </c>
      <c r="G28" s="604">
        <v>1</v>
      </c>
      <c r="H28" s="604">
        <v>1</v>
      </c>
      <c r="I28" s="604">
        <v>1</v>
      </c>
      <c r="J28" s="604">
        <v>0</v>
      </c>
      <c r="K28" s="604">
        <v>0</v>
      </c>
      <c r="L28" s="604">
        <v>0</v>
      </c>
      <c r="M28" s="604">
        <v>0</v>
      </c>
      <c r="N28" s="604">
        <v>7</v>
      </c>
      <c r="O28" s="604">
        <v>0</v>
      </c>
      <c r="P28" s="604">
        <v>0</v>
      </c>
      <c r="Q28" s="604">
        <v>0</v>
      </c>
      <c r="S28" s="327"/>
      <c r="T28" s="327">
        <v>11</v>
      </c>
    </row>
    <row r="29" spans="1:20" s="464" customFormat="1" ht="15" x14ac:dyDescent="0.25">
      <c r="A29" s="463">
        <v>46</v>
      </c>
      <c r="B29" s="604">
        <v>5</v>
      </c>
      <c r="C29" s="604">
        <v>0</v>
      </c>
      <c r="D29" s="604">
        <v>0</v>
      </c>
      <c r="E29" s="604">
        <v>2</v>
      </c>
      <c r="F29" s="604">
        <v>1</v>
      </c>
      <c r="G29" s="604">
        <v>9</v>
      </c>
      <c r="H29" s="604">
        <v>8</v>
      </c>
      <c r="I29" s="604">
        <v>2</v>
      </c>
      <c r="J29" s="604">
        <v>0</v>
      </c>
      <c r="K29" s="604">
        <v>0</v>
      </c>
      <c r="L29" s="604">
        <v>1</v>
      </c>
      <c r="M29" s="604">
        <v>1</v>
      </c>
      <c r="N29" s="604">
        <v>6</v>
      </c>
      <c r="O29" s="604">
        <v>0</v>
      </c>
      <c r="P29" s="604">
        <v>49</v>
      </c>
      <c r="Q29" s="604">
        <v>1</v>
      </c>
      <c r="S29" s="327"/>
      <c r="T29" s="327">
        <v>29</v>
      </c>
    </row>
    <row r="30" spans="1:20" x14ac:dyDescent="0.2">
      <c r="S30" s="539"/>
      <c r="T30" s="539"/>
    </row>
    <row r="31" spans="1:20" s="464" customFormat="1" ht="15" x14ac:dyDescent="0.25">
      <c r="A31" s="463">
        <v>51</v>
      </c>
      <c r="B31" s="605">
        <v>12</v>
      </c>
      <c r="C31" s="605">
        <v>0</v>
      </c>
      <c r="D31" s="605">
        <v>0</v>
      </c>
      <c r="E31" s="605">
        <v>6</v>
      </c>
      <c r="F31" s="605">
        <v>0</v>
      </c>
      <c r="G31" s="605">
        <v>20</v>
      </c>
      <c r="H31" s="605">
        <v>15</v>
      </c>
      <c r="I31" s="605">
        <v>9</v>
      </c>
      <c r="J31" s="605">
        <v>1</v>
      </c>
      <c r="K31" s="605">
        <v>0</v>
      </c>
      <c r="L31" s="605">
        <v>0</v>
      </c>
      <c r="M31" s="605">
        <v>0</v>
      </c>
      <c r="N31" s="605">
        <v>13</v>
      </c>
      <c r="O31" s="605">
        <v>2</v>
      </c>
      <c r="P31" s="605">
        <v>62</v>
      </c>
      <c r="Q31" s="605">
        <v>7</v>
      </c>
      <c r="S31" s="559">
        <v>14</v>
      </c>
      <c r="T31" s="327">
        <v>53</v>
      </c>
    </row>
    <row r="32" spans="1:20" s="464" customFormat="1" ht="15" x14ac:dyDescent="0.25">
      <c r="A32" s="463">
        <v>52</v>
      </c>
      <c r="B32" s="605">
        <v>4</v>
      </c>
      <c r="C32" s="605">
        <v>1</v>
      </c>
      <c r="D32" s="605">
        <v>0</v>
      </c>
      <c r="E32" s="605">
        <v>4</v>
      </c>
      <c r="F32" s="605">
        <v>0</v>
      </c>
      <c r="G32" s="605">
        <v>7</v>
      </c>
      <c r="H32" s="605">
        <v>5</v>
      </c>
      <c r="I32" s="605">
        <v>4</v>
      </c>
      <c r="J32" s="605">
        <v>2</v>
      </c>
      <c r="K32" s="605">
        <v>1</v>
      </c>
      <c r="L32" s="605">
        <v>0</v>
      </c>
      <c r="M32" s="605">
        <v>1</v>
      </c>
      <c r="N32" s="605">
        <v>10</v>
      </c>
      <c r="O32" s="605">
        <v>0</v>
      </c>
      <c r="P32" s="605">
        <v>0</v>
      </c>
      <c r="Q32" s="605">
        <v>1</v>
      </c>
      <c r="S32" s="559"/>
      <c r="T32" s="327">
        <v>37</v>
      </c>
    </row>
    <row r="33" spans="1:22" s="464" customFormat="1" ht="15" x14ac:dyDescent="0.25">
      <c r="A33" s="463">
        <v>53</v>
      </c>
      <c r="B33" s="605">
        <v>4</v>
      </c>
      <c r="C33" s="605">
        <v>0</v>
      </c>
      <c r="D33" s="605">
        <v>0</v>
      </c>
      <c r="E33" s="605">
        <v>1</v>
      </c>
      <c r="F33" s="605">
        <v>0</v>
      </c>
      <c r="G33" s="605">
        <v>4</v>
      </c>
      <c r="H33" s="605">
        <v>8</v>
      </c>
      <c r="I33" s="605">
        <v>5</v>
      </c>
      <c r="J33" s="605">
        <v>0</v>
      </c>
      <c r="K33" s="605">
        <v>0</v>
      </c>
      <c r="L33" s="605">
        <v>1</v>
      </c>
      <c r="M33" s="605">
        <v>2</v>
      </c>
      <c r="N33" s="605">
        <v>10</v>
      </c>
      <c r="O33" s="605">
        <v>0</v>
      </c>
      <c r="P33" s="605">
        <v>1</v>
      </c>
      <c r="Q33" s="605">
        <v>1</v>
      </c>
      <c r="S33" s="559">
        <v>1</v>
      </c>
      <c r="T33" s="327">
        <v>44</v>
      </c>
    </row>
    <row r="34" spans="1:22" s="464" customFormat="1" ht="15" x14ac:dyDescent="0.25">
      <c r="A34" s="463">
        <v>54</v>
      </c>
      <c r="B34" s="605">
        <v>9</v>
      </c>
      <c r="C34" s="605">
        <v>1</v>
      </c>
      <c r="D34" s="605">
        <v>1</v>
      </c>
      <c r="E34" s="605">
        <v>6</v>
      </c>
      <c r="F34" s="605">
        <v>2</v>
      </c>
      <c r="G34" s="605">
        <v>14</v>
      </c>
      <c r="H34" s="605">
        <v>8</v>
      </c>
      <c r="I34" s="605">
        <v>2</v>
      </c>
      <c r="J34" s="605">
        <v>1</v>
      </c>
      <c r="K34" s="605">
        <v>2</v>
      </c>
      <c r="L34" s="605">
        <v>1</v>
      </c>
      <c r="M34" s="605">
        <v>0</v>
      </c>
      <c r="N34" s="605">
        <v>8</v>
      </c>
      <c r="O34" s="605">
        <v>0</v>
      </c>
      <c r="P34" s="605">
        <v>5</v>
      </c>
      <c r="Q34" s="605">
        <v>5</v>
      </c>
      <c r="S34" s="559">
        <v>1</v>
      </c>
      <c r="T34" s="327">
        <v>38</v>
      </c>
    </row>
    <row r="35" spans="1:22" s="464" customFormat="1" ht="15" x14ac:dyDescent="0.25">
      <c r="A35" s="463">
        <v>55</v>
      </c>
      <c r="B35" s="605">
        <v>3</v>
      </c>
      <c r="C35" s="605">
        <v>1</v>
      </c>
      <c r="D35" s="605">
        <v>0</v>
      </c>
      <c r="E35" s="605">
        <v>1</v>
      </c>
      <c r="F35" s="605">
        <v>1</v>
      </c>
      <c r="G35" s="605">
        <v>15</v>
      </c>
      <c r="H35" s="605">
        <v>16</v>
      </c>
      <c r="I35" s="605">
        <v>7</v>
      </c>
      <c r="J35" s="605">
        <v>0</v>
      </c>
      <c r="K35" s="605">
        <v>2</v>
      </c>
      <c r="L35" s="605">
        <v>0</v>
      </c>
      <c r="M35" s="605">
        <v>0</v>
      </c>
      <c r="N35" s="605">
        <v>14</v>
      </c>
      <c r="O35" s="605">
        <v>0</v>
      </c>
      <c r="P35" s="605">
        <v>11</v>
      </c>
      <c r="Q35" s="605">
        <v>2</v>
      </c>
      <c r="S35" s="327"/>
      <c r="T35" s="327">
        <v>23</v>
      </c>
    </row>
    <row r="36" spans="1:22" s="464" customFormat="1" ht="15" x14ac:dyDescent="0.25">
      <c r="A36" s="463">
        <v>56</v>
      </c>
      <c r="B36" s="605">
        <v>2</v>
      </c>
      <c r="C36" s="605">
        <v>1</v>
      </c>
      <c r="D36" s="605">
        <v>0</v>
      </c>
      <c r="E36" s="605">
        <v>2</v>
      </c>
      <c r="F36" s="605">
        <v>0</v>
      </c>
      <c r="G36" s="605">
        <v>0</v>
      </c>
      <c r="H36" s="605">
        <v>1</v>
      </c>
      <c r="I36" s="605">
        <v>0</v>
      </c>
      <c r="J36" s="605">
        <v>1</v>
      </c>
      <c r="K36" s="605">
        <v>1</v>
      </c>
      <c r="L36" s="605">
        <v>0</v>
      </c>
      <c r="M36" s="605">
        <v>0</v>
      </c>
      <c r="N36" s="605">
        <v>3</v>
      </c>
      <c r="O36" s="605">
        <v>1</v>
      </c>
      <c r="P36" s="605">
        <v>0</v>
      </c>
      <c r="Q36" s="605">
        <v>2</v>
      </c>
      <c r="S36" s="327"/>
      <c r="T36" s="327">
        <v>9</v>
      </c>
    </row>
    <row r="37" spans="1:22" x14ac:dyDescent="0.2">
      <c r="S37" s="539"/>
      <c r="T37" s="539"/>
    </row>
    <row r="38" spans="1:22" s="464" customFormat="1" ht="15" x14ac:dyDescent="0.25">
      <c r="A38" s="463">
        <v>61</v>
      </c>
      <c r="B38" s="606">
        <v>3</v>
      </c>
      <c r="C38" s="606">
        <v>2</v>
      </c>
      <c r="D38" s="606">
        <v>0</v>
      </c>
      <c r="E38" s="606">
        <v>0</v>
      </c>
      <c r="F38" s="606">
        <v>0</v>
      </c>
      <c r="G38" s="606">
        <v>7</v>
      </c>
      <c r="H38" s="606">
        <v>9</v>
      </c>
      <c r="I38" s="606">
        <v>5</v>
      </c>
      <c r="J38" s="606">
        <v>1</v>
      </c>
      <c r="K38" s="606">
        <v>0</v>
      </c>
      <c r="L38" s="606">
        <v>0</v>
      </c>
      <c r="M38" s="606">
        <v>2</v>
      </c>
      <c r="N38" s="606">
        <v>19</v>
      </c>
      <c r="O38" s="606">
        <v>3</v>
      </c>
      <c r="P38" s="606">
        <v>62</v>
      </c>
      <c r="Q38" s="606">
        <v>1</v>
      </c>
      <c r="S38" s="327"/>
      <c r="T38" s="327">
        <v>27</v>
      </c>
    </row>
    <row r="39" spans="1:22" s="464" customFormat="1" ht="15" x14ac:dyDescent="0.25">
      <c r="A39" s="463">
        <v>62</v>
      </c>
      <c r="B39" s="606">
        <v>5</v>
      </c>
      <c r="C39" s="606">
        <v>3</v>
      </c>
      <c r="D39" s="606">
        <v>4</v>
      </c>
      <c r="E39" s="606">
        <v>2</v>
      </c>
      <c r="F39" s="606">
        <v>0</v>
      </c>
      <c r="G39" s="606">
        <v>15</v>
      </c>
      <c r="H39" s="606">
        <v>15</v>
      </c>
      <c r="I39" s="606">
        <v>9</v>
      </c>
      <c r="J39" s="606">
        <v>2</v>
      </c>
      <c r="K39" s="606">
        <v>2</v>
      </c>
      <c r="L39" s="606">
        <v>0</v>
      </c>
      <c r="M39" s="606">
        <v>0</v>
      </c>
      <c r="N39" s="606">
        <v>27</v>
      </c>
      <c r="O39" s="606">
        <v>1</v>
      </c>
      <c r="P39" s="606">
        <v>6</v>
      </c>
      <c r="Q39" s="606">
        <v>0</v>
      </c>
      <c r="S39" s="327"/>
      <c r="T39" s="327">
        <v>28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1</vt:i4>
      </vt:variant>
    </vt:vector>
  </HeadingPairs>
  <TitlesOfParts>
    <vt:vector size="57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Whitefield</vt:lpstr>
      <vt:lpstr>Beat 61</vt:lpstr>
      <vt:lpstr>Beat 62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Stacey Merriman</cp:lastModifiedBy>
  <cp:lastPrinted>2017-04-18T14:29:46Z</cp:lastPrinted>
  <dcterms:created xsi:type="dcterms:W3CDTF">2007-01-18T19:09:47Z</dcterms:created>
  <dcterms:modified xsi:type="dcterms:W3CDTF">2017-05-02T20:42:20Z</dcterms:modified>
</cp:coreProperties>
</file>